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3.xml" ContentType="application/vnd.openxmlformats-officedocument.drawing+xml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drawings/drawing4.xml" ContentType="application/vnd.openxmlformats-officedocument.drawing+xml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drawings/drawing5.xml" ContentType="application/vnd.openxmlformats-officedocument.drawing+xml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drawings/drawing6.xml" ContentType="application/vnd.openxmlformats-officedocument.drawing+xml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drawings/drawing7.xml" ContentType="application/vnd.openxmlformats-officedocument.drawing+xml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drawings/drawing8.xml" ContentType="application/vnd.openxmlformats-officedocument.drawing+xml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drawings/drawing9.xml" ContentType="application/vnd.openxmlformats-officedocument.drawing+xml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drawings/drawing10.xml" ContentType="application/vnd.openxmlformats-officedocument.drawing+xml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drawings/drawing11.xml" ContentType="application/vnd.openxmlformats-officedocument.drawing+xml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drawings/drawing12.xml" ContentType="application/vnd.openxmlformats-officedocument.drawing+xml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drawings/drawing13.xml" ContentType="application/vnd.openxmlformats-officedocument.drawing+xml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drawings/drawing14.xml" ContentType="application/vnd.openxmlformats-officedocument.drawing+xml"/>
  <Override PartName="/xl/activeX/activeX37.xml" ContentType="application/vnd.ms-office.activeX+xml"/>
  <Override PartName="/xl/activeX/activeX37.bin" ContentType="application/vnd.ms-office.activeX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drawings/drawing15.xml" ContentType="application/vnd.openxmlformats-officedocument.drawing+xml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drawings/drawing16.xml" ContentType="application/vnd.openxmlformats-officedocument.drawing+xml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drawings/drawing17.xml" ContentType="application/vnd.openxmlformats-officedocument.drawing+xml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drawings/drawing18.xml" ContentType="application/vnd.openxmlformats-officedocument.drawing+xml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drawings/drawing19.xml" ContentType="application/vnd.openxmlformats-officedocument.drawing+xml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showInkAnnotation="0"/>
  <mc:AlternateContent xmlns:mc="http://schemas.openxmlformats.org/markup-compatibility/2006">
    <mc:Choice Requires="x15">
      <x15ac:absPath xmlns:x15ac="http://schemas.microsoft.com/office/spreadsheetml/2010/11/ac" url="T:\Financial Planning and Analysis\Budget Department\20xx - Official Budget Files\2026 Budget\Supporting Docs and Analysis\3-Budget Overview\"/>
    </mc:Choice>
  </mc:AlternateContent>
  <xr:revisionPtr revIDLastSave="0" documentId="13_ncr:1_{8977D1AE-9B9F-440E-96A7-AE5E544D0B50}" xr6:coauthVersionLast="47" xr6:coauthVersionMax="47" xr10:uidLastSave="{00000000-0000-0000-0000-000000000000}"/>
  <bookViews>
    <workbookView xWindow="-120" yWindow="-120" windowWidth="29040" windowHeight="15720" tabRatio="815" xr2:uid="{00000000-000D-0000-FFFF-FFFF00000000}"/>
  </bookViews>
  <sheets>
    <sheet name="OMF by Acct" sheetId="5" r:id="rId1"/>
    <sheet name="All Funds (not used)" sheetId="6" state="hidden" r:id="rId2"/>
    <sheet name="AllFundsBudgetByAccount (not us" sheetId="46" state="hidden" r:id="rId3"/>
    <sheet name="With TSA 2023" sheetId="39" state="hidden" r:id="rId4"/>
    <sheet name="Admin" sheetId="23" state="hidden" r:id="rId5"/>
    <sheet name="Board" sheetId="24" state="hidden" r:id="rId6"/>
    <sheet name="Accounting" sheetId="25" state="hidden" r:id="rId7"/>
    <sheet name="Procurement &amp; Bus Diversity" sheetId="26" state="hidden" r:id="rId8"/>
    <sheet name="Treasury" sheetId="27" state="hidden" r:id="rId9"/>
    <sheet name="Shared Svcs" sheetId="28" state="hidden" r:id="rId10"/>
    <sheet name="HR" sheetId="29" state="hidden" r:id="rId11"/>
    <sheet name="Internal Audit" sheetId="30" state="hidden" r:id="rId12"/>
    <sheet name="Legal" sheetId="31" state="hidden" r:id="rId13"/>
    <sheet name="Contact Center Coll" sheetId="32" state="hidden" r:id="rId14"/>
    <sheet name="IT" sheetId="33" state="hidden" r:id="rId15"/>
    <sheet name="Operations" sheetId="34" state="hidden" r:id="rId16"/>
    <sheet name="Maint" sheetId="35" state="hidden" r:id="rId17"/>
    <sheet name="PD" sheetId="36" state="hidden" r:id="rId18"/>
    <sheet name="Public Affairs" sheetId="37" state="hidden" r:id="rId19"/>
    <sheet name="TIM" sheetId="38" state="hidden" r:id="rId20"/>
  </sheets>
  <definedNames>
    <definedName name="_xlnm._FilterDatabase" localSheetId="2" hidden="1">'AllFundsBudgetByAccount (not us'!$A$2:$W$74</definedName>
    <definedName name="_xlnm._FilterDatabase" localSheetId="0" hidden="1">'OMF by Acct'!$A$10:$Y$10</definedName>
    <definedName name="NvsASD">"V2019-03-23"</definedName>
    <definedName name="NvsAutoDrillOk">"VN"</definedName>
    <definedName name="NvsElapsedTime">0.0000115740695036948</definedName>
    <definedName name="NvsEndTime">43547.5222800926</definedName>
    <definedName name="NvsInstLang">"VENG"</definedName>
    <definedName name="NvsInstSpec">"%,FDEPTID,TNTTA_DEPTID_ROLLUP,NALL_DEPTID"</definedName>
    <definedName name="NvsInstSpec1">","</definedName>
    <definedName name="NvsInstSpec2">","</definedName>
    <definedName name="NvsInstSpec3">","</definedName>
    <definedName name="NvsInstSpec4">","</definedName>
    <definedName name="NvsInstSpec5">","</definedName>
    <definedName name="NvsInstSpec6">","</definedName>
    <definedName name="NvsInstSpec7">","</definedName>
    <definedName name="NvsInstSpec8">","</definedName>
    <definedName name="NvsInstSpec9">","</definedName>
    <definedName name="NvsLayoutType">"M3"</definedName>
    <definedName name="NvsNplSpec">"%,X,RZF..,CZF.."</definedName>
    <definedName name="NvsPanelBusUnit">"V00001"</definedName>
    <definedName name="NvsPanelEffdt">"V1901-01-01"</definedName>
    <definedName name="NvsPanelSetid">"V00001"</definedName>
    <definedName name="NvsReqBU">"V00001"</definedName>
    <definedName name="NvsReqBUOnly">"VY"</definedName>
    <definedName name="NvsTransLed">"VN"</definedName>
    <definedName name="NvsTreeASD">"V2019-03-23"</definedName>
    <definedName name="NvsValTbl.ACCOUNT">"GL_ACCOUNT_TBL"</definedName>
    <definedName name="NvsValTbl.DEPTID">"DEPARTMENT_TBL"</definedName>
    <definedName name="NvsValTbl.FUND_CODE">"FUND_TBL"</definedName>
    <definedName name="_xlnm.Print_Area" localSheetId="6">Accounting!$B$2:$F$24</definedName>
    <definedName name="_xlnm.Print_Area" localSheetId="4">Admin!$B$2:$F$22</definedName>
    <definedName name="_xlnm.Print_Area" localSheetId="5">Board!$B$2:$F$20</definedName>
    <definedName name="_xlnm.Print_Area" localSheetId="13">'Contact Center Coll'!$B$3:$F$31</definedName>
    <definedName name="_xlnm.Print_Area" localSheetId="10">HR!$B$2:$F$28</definedName>
    <definedName name="_xlnm.Print_Area" localSheetId="11">'Internal Audit'!$B$3:$F$23</definedName>
    <definedName name="_xlnm.Print_Area" localSheetId="14">IT!$B$3:$F$29</definedName>
    <definedName name="_xlnm.Print_Area" localSheetId="12">Legal!$B$3:$F$24</definedName>
    <definedName name="_xlnm.Print_Area" localSheetId="16">Maint!$B$2:$F$40</definedName>
    <definedName name="_xlnm.Print_Area" localSheetId="15">Operations!$B$3:$F$21</definedName>
    <definedName name="_xlnm.Print_Area" localSheetId="17">PD!$B$3:$F$32</definedName>
    <definedName name="_xlnm.Print_Area" localSheetId="7">'Procurement &amp; Bus Diversity'!$B$2:$F$23</definedName>
    <definedName name="_xlnm.Print_Area" localSheetId="9">'Shared Svcs'!$B$2:$F$19</definedName>
    <definedName name="_xlnm.Print_Area" localSheetId="19">TIM!$B$2:$F$33</definedName>
    <definedName name="_xlnm.Print_Area" localSheetId="8">Treasury!$B$2:$F$25</definedName>
    <definedName name="_xlnm.Print_Titles" localSheetId="2">'AllFundsBudgetByAccount (not us'!$1:$1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19" i="6" l="1"/>
  <c r="X45" i="6"/>
  <c r="X46" i="6"/>
  <c r="X52" i="6"/>
  <c r="X77" i="6"/>
  <c r="X85" i="6"/>
  <c r="X86" i="6"/>
  <c r="X87" i="6"/>
  <c r="X88" i="6"/>
  <c r="X89" i="6"/>
  <c r="X90" i="6"/>
  <c r="X91" i="6"/>
  <c r="T27" i="6"/>
  <c r="T13" i="6"/>
  <c r="T14" i="6"/>
  <c r="T15" i="6"/>
  <c r="T16" i="6"/>
  <c r="T17" i="6"/>
  <c r="T18" i="6"/>
  <c r="T19" i="6"/>
  <c r="T20" i="6"/>
  <c r="T21" i="6"/>
  <c r="T22" i="6"/>
  <c r="T23" i="6"/>
  <c r="T24" i="6"/>
  <c r="T25" i="6"/>
  <c r="T26" i="6"/>
  <c r="T28" i="6"/>
  <c r="T29" i="6"/>
  <c r="T30" i="6"/>
  <c r="T31" i="6"/>
  <c r="T32" i="6"/>
  <c r="T33" i="6"/>
  <c r="T34" i="6"/>
  <c r="T35" i="6"/>
  <c r="T36" i="6"/>
  <c r="T37" i="6"/>
  <c r="T38" i="6"/>
  <c r="T39" i="6"/>
  <c r="T40" i="6"/>
  <c r="T41" i="6"/>
  <c r="T42" i="6"/>
  <c r="T43" i="6"/>
  <c r="T44" i="6"/>
  <c r="T45" i="6"/>
  <c r="T46" i="6"/>
  <c r="T47" i="6"/>
  <c r="T48" i="6"/>
  <c r="T49" i="6"/>
  <c r="T50" i="6"/>
  <c r="T51" i="6"/>
  <c r="T52" i="6"/>
  <c r="T53" i="6"/>
  <c r="T54" i="6"/>
  <c r="T55" i="6"/>
  <c r="T56" i="6"/>
  <c r="T57" i="6"/>
  <c r="T58" i="6"/>
  <c r="T59" i="6"/>
  <c r="T60" i="6"/>
  <c r="T61" i="6"/>
  <c r="T62" i="6"/>
  <c r="T63" i="6"/>
  <c r="T64" i="6"/>
  <c r="T65" i="6"/>
  <c r="T66" i="6"/>
  <c r="T67" i="6"/>
  <c r="T68" i="6"/>
  <c r="T69" i="6"/>
  <c r="T70" i="6"/>
  <c r="T71" i="6"/>
  <c r="T72" i="6"/>
  <c r="T73" i="6"/>
  <c r="T74" i="6"/>
  <c r="T75" i="6"/>
  <c r="T76" i="6"/>
  <c r="T77" i="6"/>
  <c r="T78" i="6"/>
  <c r="T79" i="6"/>
  <c r="T80" i="6"/>
  <c r="T81" i="6"/>
  <c r="T82" i="6"/>
  <c r="T83" i="6"/>
  <c r="T84" i="6"/>
  <c r="T85" i="6"/>
  <c r="T86" i="6"/>
  <c r="T87" i="6"/>
  <c r="T88" i="6"/>
  <c r="T89" i="6"/>
  <c r="T90" i="6"/>
  <c r="T91" i="6"/>
  <c r="T12" i="6"/>
  <c r="T11" i="6"/>
  <c r="S13" i="6"/>
  <c r="S14" i="6"/>
  <c r="S15" i="6"/>
  <c r="S16" i="6"/>
  <c r="S17" i="6"/>
  <c r="S18" i="6"/>
  <c r="S19" i="6"/>
  <c r="S20" i="6"/>
  <c r="S21" i="6"/>
  <c r="S22" i="6"/>
  <c r="S23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12" i="6"/>
  <c r="S11" i="6"/>
  <c r="R13" i="6"/>
  <c r="R14" i="6"/>
  <c r="R15" i="6"/>
  <c r="R16" i="6"/>
  <c r="R17" i="6"/>
  <c r="R18" i="6"/>
  <c r="R19" i="6"/>
  <c r="R20" i="6"/>
  <c r="R21" i="6"/>
  <c r="R22" i="6"/>
  <c r="R23" i="6"/>
  <c r="R24" i="6"/>
  <c r="R25" i="6"/>
  <c r="R26" i="6"/>
  <c r="R27" i="6"/>
  <c r="R28" i="6"/>
  <c r="R29" i="6"/>
  <c r="R30" i="6"/>
  <c r="R31" i="6"/>
  <c r="R32" i="6"/>
  <c r="R33" i="6"/>
  <c r="R34" i="6"/>
  <c r="R35" i="6"/>
  <c r="R36" i="6"/>
  <c r="R37" i="6"/>
  <c r="R38" i="6"/>
  <c r="R39" i="6"/>
  <c r="R40" i="6"/>
  <c r="R41" i="6"/>
  <c r="R42" i="6"/>
  <c r="R43" i="6"/>
  <c r="R44" i="6"/>
  <c r="R45" i="6"/>
  <c r="R46" i="6"/>
  <c r="R47" i="6"/>
  <c r="R48" i="6"/>
  <c r="R49" i="6"/>
  <c r="R50" i="6"/>
  <c r="R51" i="6"/>
  <c r="R52" i="6"/>
  <c r="R53" i="6"/>
  <c r="R54" i="6"/>
  <c r="R55" i="6"/>
  <c r="R56" i="6"/>
  <c r="R57" i="6"/>
  <c r="R58" i="6"/>
  <c r="R59" i="6"/>
  <c r="R60" i="6"/>
  <c r="R61" i="6"/>
  <c r="R62" i="6"/>
  <c r="R63" i="6"/>
  <c r="R64" i="6"/>
  <c r="R65" i="6"/>
  <c r="R66" i="6"/>
  <c r="R67" i="6"/>
  <c r="R68" i="6"/>
  <c r="R69" i="6"/>
  <c r="R70" i="6"/>
  <c r="R71" i="6"/>
  <c r="R72" i="6"/>
  <c r="R73" i="6"/>
  <c r="R74" i="6"/>
  <c r="R75" i="6"/>
  <c r="R76" i="6"/>
  <c r="R77" i="6"/>
  <c r="R78" i="6"/>
  <c r="R79" i="6"/>
  <c r="R80" i="6"/>
  <c r="R81" i="6"/>
  <c r="R82" i="6"/>
  <c r="R83" i="6"/>
  <c r="R84" i="6"/>
  <c r="R12" i="6"/>
  <c r="R11" i="6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29" i="6"/>
  <c r="Q30" i="6"/>
  <c r="Q31" i="6"/>
  <c r="Q32" i="6"/>
  <c r="Q33" i="6"/>
  <c r="Q34" i="6"/>
  <c r="Q35" i="6"/>
  <c r="Q36" i="6"/>
  <c r="Q37" i="6"/>
  <c r="Q38" i="6"/>
  <c r="Q39" i="6"/>
  <c r="Q40" i="6"/>
  <c r="Q41" i="6"/>
  <c r="Q42" i="6"/>
  <c r="Q43" i="6"/>
  <c r="Q44" i="6"/>
  <c r="Q45" i="6"/>
  <c r="Q46" i="6"/>
  <c r="Q47" i="6"/>
  <c r="Q48" i="6"/>
  <c r="Q49" i="6"/>
  <c r="Q50" i="6"/>
  <c r="Q51" i="6"/>
  <c r="Q52" i="6"/>
  <c r="Q53" i="6"/>
  <c r="Q54" i="6"/>
  <c r="Q55" i="6"/>
  <c r="Q56" i="6"/>
  <c r="Q57" i="6"/>
  <c r="Q58" i="6"/>
  <c r="Q59" i="6"/>
  <c r="Q60" i="6"/>
  <c r="Q61" i="6"/>
  <c r="Q62" i="6"/>
  <c r="Q63" i="6"/>
  <c r="Q64" i="6"/>
  <c r="Q65" i="6"/>
  <c r="Q66" i="6"/>
  <c r="Q67" i="6"/>
  <c r="Q68" i="6"/>
  <c r="Q69" i="6"/>
  <c r="Q70" i="6"/>
  <c r="Q71" i="6"/>
  <c r="Q72" i="6"/>
  <c r="Q73" i="6"/>
  <c r="Q74" i="6"/>
  <c r="Q75" i="6"/>
  <c r="Q76" i="6"/>
  <c r="Q77" i="6"/>
  <c r="Q78" i="6"/>
  <c r="Q79" i="6"/>
  <c r="Q80" i="6"/>
  <c r="Q81" i="6"/>
  <c r="Q82" i="6"/>
  <c r="Q83" i="6"/>
  <c r="Q84" i="6"/>
  <c r="Q12" i="6"/>
  <c r="Q11" i="6"/>
  <c r="P13" i="6"/>
  <c r="P14" i="6"/>
  <c r="P15" i="6"/>
  <c r="P16" i="6"/>
  <c r="P17" i="6"/>
  <c r="P18" i="6"/>
  <c r="P19" i="6"/>
  <c r="P20" i="6"/>
  <c r="P21" i="6"/>
  <c r="P22" i="6"/>
  <c r="P23" i="6"/>
  <c r="P24" i="6"/>
  <c r="P25" i="6"/>
  <c r="P26" i="6"/>
  <c r="P27" i="6"/>
  <c r="P28" i="6"/>
  <c r="P29" i="6"/>
  <c r="P30" i="6"/>
  <c r="P31" i="6"/>
  <c r="P32" i="6"/>
  <c r="P33" i="6"/>
  <c r="P34" i="6"/>
  <c r="P35" i="6"/>
  <c r="P36" i="6"/>
  <c r="P37" i="6"/>
  <c r="P38" i="6"/>
  <c r="P39" i="6"/>
  <c r="P40" i="6"/>
  <c r="P41" i="6"/>
  <c r="P42" i="6"/>
  <c r="P43" i="6"/>
  <c r="P44" i="6"/>
  <c r="P45" i="6"/>
  <c r="P46" i="6"/>
  <c r="P47" i="6"/>
  <c r="P48" i="6"/>
  <c r="P49" i="6"/>
  <c r="P50" i="6"/>
  <c r="P51" i="6"/>
  <c r="P52" i="6"/>
  <c r="P53" i="6"/>
  <c r="P54" i="6"/>
  <c r="P55" i="6"/>
  <c r="P56" i="6"/>
  <c r="P57" i="6"/>
  <c r="P58" i="6"/>
  <c r="P59" i="6"/>
  <c r="P60" i="6"/>
  <c r="P61" i="6"/>
  <c r="P62" i="6"/>
  <c r="P63" i="6"/>
  <c r="P64" i="6"/>
  <c r="P65" i="6"/>
  <c r="P66" i="6"/>
  <c r="P67" i="6"/>
  <c r="P68" i="6"/>
  <c r="P69" i="6"/>
  <c r="P70" i="6"/>
  <c r="P71" i="6"/>
  <c r="P72" i="6"/>
  <c r="P73" i="6"/>
  <c r="P74" i="6"/>
  <c r="P75" i="6"/>
  <c r="P76" i="6"/>
  <c r="P77" i="6"/>
  <c r="P78" i="6"/>
  <c r="P79" i="6"/>
  <c r="P80" i="6"/>
  <c r="P81" i="6"/>
  <c r="P82" i="6"/>
  <c r="P83" i="6"/>
  <c r="P84" i="6"/>
  <c r="P85" i="6"/>
  <c r="P86" i="6"/>
  <c r="P87" i="6"/>
  <c r="P88" i="6"/>
  <c r="P89" i="6"/>
  <c r="P90" i="6"/>
  <c r="P91" i="6"/>
  <c r="P12" i="6"/>
  <c r="P11" i="6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O27" i="6"/>
  <c r="O28" i="6"/>
  <c r="O29" i="6"/>
  <c r="O30" i="6"/>
  <c r="O31" i="6"/>
  <c r="O32" i="6"/>
  <c r="O33" i="6"/>
  <c r="O34" i="6"/>
  <c r="O35" i="6"/>
  <c r="O36" i="6"/>
  <c r="O37" i="6"/>
  <c r="O38" i="6"/>
  <c r="O39" i="6"/>
  <c r="O40" i="6"/>
  <c r="O41" i="6"/>
  <c r="O42" i="6"/>
  <c r="O43" i="6"/>
  <c r="O44" i="6"/>
  <c r="O45" i="6"/>
  <c r="O46" i="6"/>
  <c r="O47" i="6"/>
  <c r="O48" i="6"/>
  <c r="O49" i="6"/>
  <c r="O50" i="6"/>
  <c r="O51" i="6"/>
  <c r="O52" i="6"/>
  <c r="O53" i="6"/>
  <c r="O54" i="6"/>
  <c r="O55" i="6"/>
  <c r="O56" i="6"/>
  <c r="O57" i="6"/>
  <c r="O58" i="6"/>
  <c r="O59" i="6"/>
  <c r="O60" i="6"/>
  <c r="O61" i="6"/>
  <c r="O62" i="6"/>
  <c r="O63" i="6"/>
  <c r="O64" i="6"/>
  <c r="O65" i="6"/>
  <c r="O66" i="6"/>
  <c r="O67" i="6"/>
  <c r="O68" i="6"/>
  <c r="O69" i="6"/>
  <c r="O70" i="6"/>
  <c r="O71" i="6"/>
  <c r="O72" i="6"/>
  <c r="O73" i="6"/>
  <c r="O74" i="6"/>
  <c r="O75" i="6"/>
  <c r="O76" i="6"/>
  <c r="O77" i="6"/>
  <c r="O78" i="6"/>
  <c r="O79" i="6"/>
  <c r="O80" i="6"/>
  <c r="O81" i="6"/>
  <c r="O82" i="6"/>
  <c r="O83" i="6"/>
  <c r="O84" i="6"/>
  <c r="O12" i="6"/>
  <c r="O11" i="6"/>
  <c r="N13" i="6"/>
  <c r="N14" i="6"/>
  <c r="N15" i="6"/>
  <c r="N16" i="6"/>
  <c r="N17" i="6"/>
  <c r="N18" i="6"/>
  <c r="N19" i="6"/>
  <c r="N20" i="6"/>
  <c r="N21" i="6"/>
  <c r="N22" i="6"/>
  <c r="N23" i="6"/>
  <c r="N24" i="6"/>
  <c r="N25" i="6"/>
  <c r="N26" i="6"/>
  <c r="N27" i="6"/>
  <c r="N28" i="6"/>
  <c r="N29" i="6"/>
  <c r="N30" i="6"/>
  <c r="N31" i="6"/>
  <c r="N32" i="6"/>
  <c r="N33" i="6"/>
  <c r="N34" i="6"/>
  <c r="N35" i="6"/>
  <c r="N36" i="6"/>
  <c r="N37" i="6"/>
  <c r="N38" i="6"/>
  <c r="N39" i="6"/>
  <c r="N40" i="6"/>
  <c r="N41" i="6"/>
  <c r="N42" i="6"/>
  <c r="N43" i="6"/>
  <c r="N44" i="6"/>
  <c r="N45" i="6"/>
  <c r="N46" i="6"/>
  <c r="N47" i="6"/>
  <c r="N48" i="6"/>
  <c r="N49" i="6"/>
  <c r="N50" i="6"/>
  <c r="N51" i="6"/>
  <c r="N52" i="6"/>
  <c r="N53" i="6"/>
  <c r="N54" i="6"/>
  <c r="N55" i="6"/>
  <c r="N56" i="6"/>
  <c r="N57" i="6"/>
  <c r="N58" i="6"/>
  <c r="N59" i="6"/>
  <c r="N60" i="6"/>
  <c r="N61" i="6"/>
  <c r="N62" i="6"/>
  <c r="N63" i="6"/>
  <c r="N64" i="6"/>
  <c r="N65" i="6"/>
  <c r="N66" i="6"/>
  <c r="N67" i="6"/>
  <c r="N68" i="6"/>
  <c r="N69" i="6"/>
  <c r="N70" i="6"/>
  <c r="N71" i="6"/>
  <c r="N72" i="6"/>
  <c r="N73" i="6"/>
  <c r="N74" i="6"/>
  <c r="N75" i="6"/>
  <c r="N76" i="6"/>
  <c r="N77" i="6"/>
  <c r="N78" i="6"/>
  <c r="N79" i="6"/>
  <c r="N80" i="6"/>
  <c r="N81" i="6"/>
  <c r="N82" i="6"/>
  <c r="N83" i="6"/>
  <c r="N84" i="6"/>
  <c r="N85" i="6"/>
  <c r="N86" i="6"/>
  <c r="N87" i="6"/>
  <c r="N88" i="6"/>
  <c r="N89" i="6"/>
  <c r="N90" i="6"/>
  <c r="N12" i="6"/>
  <c r="N11" i="6"/>
  <c r="M13" i="6"/>
  <c r="M14" i="6"/>
  <c r="M15" i="6"/>
  <c r="M16" i="6"/>
  <c r="M17" i="6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33" i="6"/>
  <c r="M34" i="6"/>
  <c r="M35" i="6"/>
  <c r="M36" i="6"/>
  <c r="M37" i="6"/>
  <c r="M38" i="6"/>
  <c r="M39" i="6"/>
  <c r="M40" i="6"/>
  <c r="M41" i="6"/>
  <c r="M42" i="6"/>
  <c r="M43" i="6"/>
  <c r="M44" i="6"/>
  <c r="M45" i="6"/>
  <c r="M46" i="6"/>
  <c r="M47" i="6"/>
  <c r="M48" i="6"/>
  <c r="M49" i="6"/>
  <c r="M50" i="6"/>
  <c r="M51" i="6"/>
  <c r="M52" i="6"/>
  <c r="M53" i="6"/>
  <c r="M54" i="6"/>
  <c r="M55" i="6"/>
  <c r="M56" i="6"/>
  <c r="M57" i="6"/>
  <c r="M58" i="6"/>
  <c r="M59" i="6"/>
  <c r="M60" i="6"/>
  <c r="M61" i="6"/>
  <c r="M62" i="6"/>
  <c r="M63" i="6"/>
  <c r="M64" i="6"/>
  <c r="M65" i="6"/>
  <c r="M66" i="6"/>
  <c r="M67" i="6"/>
  <c r="M68" i="6"/>
  <c r="M69" i="6"/>
  <c r="M70" i="6"/>
  <c r="M71" i="6"/>
  <c r="M72" i="6"/>
  <c r="M73" i="6"/>
  <c r="M74" i="6"/>
  <c r="M75" i="6"/>
  <c r="M76" i="6"/>
  <c r="M77" i="6"/>
  <c r="M78" i="6"/>
  <c r="M79" i="6"/>
  <c r="M80" i="6"/>
  <c r="M81" i="6"/>
  <c r="M82" i="6"/>
  <c r="M83" i="6"/>
  <c r="M84" i="6"/>
  <c r="M12" i="6"/>
  <c r="M11" i="6"/>
  <c r="L13" i="6"/>
  <c r="L14" i="6"/>
  <c r="L15" i="6"/>
  <c r="L16" i="6"/>
  <c r="L17" i="6"/>
  <c r="L18" i="6"/>
  <c r="L19" i="6"/>
  <c r="L20" i="6"/>
  <c r="L21" i="6"/>
  <c r="L22" i="6"/>
  <c r="L23" i="6"/>
  <c r="L24" i="6"/>
  <c r="L25" i="6"/>
  <c r="L26" i="6"/>
  <c r="L27" i="6"/>
  <c r="L28" i="6"/>
  <c r="L29" i="6"/>
  <c r="L30" i="6"/>
  <c r="L31" i="6"/>
  <c r="L32" i="6"/>
  <c r="L33" i="6"/>
  <c r="L34" i="6"/>
  <c r="L35" i="6"/>
  <c r="L36" i="6"/>
  <c r="L37" i="6"/>
  <c r="L38" i="6"/>
  <c r="L39" i="6"/>
  <c r="L40" i="6"/>
  <c r="L41" i="6"/>
  <c r="L42" i="6"/>
  <c r="L43" i="6"/>
  <c r="L44" i="6"/>
  <c r="L45" i="6"/>
  <c r="L46" i="6"/>
  <c r="L47" i="6"/>
  <c r="L48" i="6"/>
  <c r="L49" i="6"/>
  <c r="L50" i="6"/>
  <c r="L51" i="6"/>
  <c r="L52" i="6"/>
  <c r="L53" i="6"/>
  <c r="L54" i="6"/>
  <c r="L55" i="6"/>
  <c r="L56" i="6"/>
  <c r="L57" i="6"/>
  <c r="L58" i="6"/>
  <c r="L59" i="6"/>
  <c r="L60" i="6"/>
  <c r="L61" i="6"/>
  <c r="L62" i="6"/>
  <c r="L63" i="6"/>
  <c r="L64" i="6"/>
  <c r="L65" i="6"/>
  <c r="L66" i="6"/>
  <c r="L67" i="6"/>
  <c r="L68" i="6"/>
  <c r="L69" i="6"/>
  <c r="L70" i="6"/>
  <c r="L71" i="6"/>
  <c r="L72" i="6"/>
  <c r="L73" i="6"/>
  <c r="L74" i="6"/>
  <c r="L75" i="6"/>
  <c r="L76" i="6"/>
  <c r="L77" i="6"/>
  <c r="L78" i="6"/>
  <c r="L79" i="6"/>
  <c r="L80" i="6"/>
  <c r="L81" i="6"/>
  <c r="L82" i="6"/>
  <c r="L83" i="6"/>
  <c r="L84" i="6"/>
  <c r="L85" i="6"/>
  <c r="L86" i="6"/>
  <c r="L87" i="6"/>
  <c r="L88" i="6"/>
  <c r="L89" i="6"/>
  <c r="L90" i="6"/>
  <c r="L91" i="6"/>
  <c r="L12" i="6"/>
  <c r="L11" i="6"/>
  <c r="K13" i="6"/>
  <c r="K14" i="6"/>
  <c r="K15" i="6"/>
  <c r="K16" i="6"/>
  <c r="K17" i="6"/>
  <c r="K18" i="6"/>
  <c r="K19" i="6"/>
  <c r="K20" i="6"/>
  <c r="K21" i="6"/>
  <c r="K22" i="6"/>
  <c r="K23" i="6"/>
  <c r="K24" i="6"/>
  <c r="K25" i="6"/>
  <c r="K26" i="6"/>
  <c r="K27" i="6"/>
  <c r="K28" i="6"/>
  <c r="K29" i="6"/>
  <c r="K30" i="6"/>
  <c r="K31" i="6"/>
  <c r="K32" i="6"/>
  <c r="K33" i="6"/>
  <c r="K34" i="6"/>
  <c r="K35" i="6"/>
  <c r="K36" i="6"/>
  <c r="K37" i="6"/>
  <c r="K38" i="6"/>
  <c r="K39" i="6"/>
  <c r="K40" i="6"/>
  <c r="K41" i="6"/>
  <c r="K42" i="6"/>
  <c r="K43" i="6"/>
  <c r="K44" i="6"/>
  <c r="K45" i="6"/>
  <c r="K46" i="6"/>
  <c r="K47" i="6"/>
  <c r="K48" i="6"/>
  <c r="K49" i="6"/>
  <c r="K50" i="6"/>
  <c r="K51" i="6"/>
  <c r="K52" i="6"/>
  <c r="K53" i="6"/>
  <c r="K54" i="6"/>
  <c r="K55" i="6"/>
  <c r="K56" i="6"/>
  <c r="K57" i="6"/>
  <c r="K58" i="6"/>
  <c r="K59" i="6"/>
  <c r="K60" i="6"/>
  <c r="K61" i="6"/>
  <c r="K62" i="6"/>
  <c r="K63" i="6"/>
  <c r="K64" i="6"/>
  <c r="K65" i="6"/>
  <c r="K66" i="6"/>
  <c r="K67" i="6"/>
  <c r="K68" i="6"/>
  <c r="K69" i="6"/>
  <c r="K70" i="6"/>
  <c r="K71" i="6"/>
  <c r="K72" i="6"/>
  <c r="K73" i="6"/>
  <c r="K74" i="6"/>
  <c r="K75" i="6"/>
  <c r="K76" i="6"/>
  <c r="K77" i="6"/>
  <c r="K78" i="6"/>
  <c r="K79" i="6"/>
  <c r="K80" i="6"/>
  <c r="K81" i="6"/>
  <c r="K82" i="6"/>
  <c r="K83" i="6"/>
  <c r="K84" i="6"/>
  <c r="K85" i="6"/>
  <c r="K86" i="6"/>
  <c r="K87" i="6"/>
  <c r="K88" i="6"/>
  <c r="K89" i="6"/>
  <c r="K90" i="6"/>
  <c r="K91" i="6"/>
  <c r="K12" i="6"/>
  <c r="K11" i="6"/>
  <c r="J13" i="6"/>
  <c r="J14" i="6"/>
  <c r="J15" i="6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59" i="6"/>
  <c r="J60" i="6"/>
  <c r="J61" i="6"/>
  <c r="J62" i="6"/>
  <c r="J63" i="6"/>
  <c r="J64" i="6"/>
  <c r="J65" i="6"/>
  <c r="J66" i="6"/>
  <c r="J67" i="6"/>
  <c r="J68" i="6"/>
  <c r="J69" i="6"/>
  <c r="J70" i="6"/>
  <c r="J71" i="6"/>
  <c r="J72" i="6"/>
  <c r="J73" i="6"/>
  <c r="J74" i="6"/>
  <c r="J75" i="6"/>
  <c r="J76" i="6"/>
  <c r="J77" i="6"/>
  <c r="J78" i="6"/>
  <c r="J79" i="6"/>
  <c r="J80" i="6"/>
  <c r="J81" i="6"/>
  <c r="J82" i="6"/>
  <c r="J83" i="6"/>
  <c r="J84" i="6"/>
  <c r="J85" i="6"/>
  <c r="J86" i="6"/>
  <c r="J87" i="6"/>
  <c r="J88" i="6"/>
  <c r="J89" i="6"/>
  <c r="J90" i="6"/>
  <c r="J12" i="6"/>
  <c r="J11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I56" i="6"/>
  <c r="I57" i="6"/>
  <c r="I58" i="6"/>
  <c r="I59" i="6"/>
  <c r="I60" i="6"/>
  <c r="I61" i="6"/>
  <c r="I62" i="6"/>
  <c r="I63" i="6"/>
  <c r="I64" i="6"/>
  <c r="I65" i="6"/>
  <c r="I66" i="6"/>
  <c r="I67" i="6"/>
  <c r="I68" i="6"/>
  <c r="I69" i="6"/>
  <c r="I70" i="6"/>
  <c r="I71" i="6"/>
  <c r="I72" i="6"/>
  <c r="I73" i="6"/>
  <c r="I74" i="6"/>
  <c r="I75" i="6"/>
  <c r="I76" i="6"/>
  <c r="I77" i="6"/>
  <c r="I78" i="6"/>
  <c r="I79" i="6"/>
  <c r="I80" i="6"/>
  <c r="I81" i="6"/>
  <c r="I82" i="6"/>
  <c r="I83" i="6"/>
  <c r="I84" i="6"/>
  <c r="I12" i="6"/>
  <c r="I11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12" i="6"/>
  <c r="H11" i="6"/>
  <c r="G13" i="6"/>
  <c r="G14" i="6"/>
  <c r="G15" i="6"/>
  <c r="G16" i="6"/>
  <c r="G17" i="6"/>
  <c r="G18" i="6"/>
  <c r="G19" i="6"/>
  <c r="G20" i="6"/>
  <c r="G21" i="6"/>
  <c r="G22" i="6"/>
  <c r="G23" i="6"/>
  <c r="G24" i="6"/>
  <c r="G25" i="6"/>
  <c r="G26" i="6"/>
  <c r="G27" i="6"/>
  <c r="G28" i="6"/>
  <c r="G29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0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0" i="6"/>
  <c r="G81" i="6"/>
  <c r="G82" i="6"/>
  <c r="G83" i="6"/>
  <c r="G84" i="6"/>
  <c r="G85" i="6"/>
  <c r="G86" i="6"/>
  <c r="G87" i="6"/>
  <c r="G88" i="6"/>
  <c r="G89" i="6"/>
  <c r="G90" i="6"/>
  <c r="G12" i="6"/>
  <c r="G11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83" i="6"/>
  <c r="F84" i="6"/>
  <c r="F12" i="6"/>
  <c r="F11" i="6"/>
  <c r="E84" i="6"/>
  <c r="E83" i="6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60" i="6"/>
  <c r="E59" i="6"/>
  <c r="E58" i="6"/>
  <c r="E57" i="6"/>
  <c r="E56" i="6"/>
  <c r="E55" i="6"/>
  <c r="E54" i="6"/>
  <c r="E53" i="6"/>
  <c r="E52" i="6"/>
  <c r="E51" i="6"/>
  <c r="E50" i="6"/>
  <c r="E49" i="6"/>
  <c r="E48" i="6"/>
  <c r="E47" i="6"/>
  <c r="E46" i="6"/>
  <c r="E45" i="6"/>
  <c r="E44" i="6"/>
  <c r="E43" i="6"/>
  <c r="E42" i="6"/>
  <c r="E41" i="6"/>
  <c r="E40" i="6"/>
  <c r="E39" i="6"/>
  <c r="E38" i="6"/>
  <c r="E37" i="6"/>
  <c r="E36" i="6"/>
  <c r="E35" i="6"/>
  <c r="E34" i="6"/>
  <c r="E33" i="6"/>
  <c r="E32" i="6"/>
  <c r="E31" i="6"/>
  <c r="E30" i="6"/>
  <c r="E29" i="6"/>
  <c r="E28" i="6"/>
  <c r="E27" i="6"/>
  <c r="E26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D12" i="6"/>
  <c r="D13" i="6"/>
  <c r="D14" i="6"/>
  <c r="D15" i="6"/>
  <c r="D16" i="6"/>
  <c r="D17" i="6"/>
  <c r="D18" i="6"/>
  <c r="D19" i="6"/>
  <c r="D20" i="6"/>
  <c r="D21" i="6"/>
  <c r="D22" i="6"/>
  <c r="D23" i="6"/>
  <c r="D24" i="6"/>
  <c r="D25" i="6"/>
  <c r="D26" i="6"/>
  <c r="D27" i="6"/>
  <c r="D28" i="6"/>
  <c r="D29" i="6"/>
  <c r="D30" i="6"/>
  <c r="D31" i="6"/>
  <c r="D32" i="6"/>
  <c r="D33" i="6"/>
  <c r="D34" i="6"/>
  <c r="D35" i="6"/>
  <c r="D36" i="6"/>
  <c r="D37" i="6"/>
  <c r="D38" i="6"/>
  <c r="D39" i="6"/>
  <c r="D40" i="6"/>
  <c r="D41" i="6"/>
  <c r="D42" i="6"/>
  <c r="D43" i="6"/>
  <c r="D44" i="6"/>
  <c r="D45" i="6"/>
  <c r="D46" i="6"/>
  <c r="D47" i="6"/>
  <c r="D48" i="6"/>
  <c r="D49" i="6"/>
  <c r="D50" i="6"/>
  <c r="D51" i="6"/>
  <c r="D52" i="6"/>
  <c r="D53" i="6"/>
  <c r="D54" i="6"/>
  <c r="D55" i="6"/>
  <c r="D56" i="6"/>
  <c r="D57" i="6"/>
  <c r="D58" i="6"/>
  <c r="D59" i="6"/>
  <c r="D60" i="6"/>
  <c r="D61" i="6"/>
  <c r="D62" i="6"/>
  <c r="D63" i="6"/>
  <c r="D64" i="6"/>
  <c r="D65" i="6"/>
  <c r="D66" i="6"/>
  <c r="D67" i="6"/>
  <c r="D68" i="6"/>
  <c r="D69" i="6"/>
  <c r="D70" i="6"/>
  <c r="D71" i="6"/>
  <c r="D72" i="6"/>
  <c r="D73" i="6"/>
  <c r="D74" i="6"/>
  <c r="D75" i="6"/>
  <c r="D76" i="6"/>
  <c r="D77" i="6"/>
  <c r="D78" i="6"/>
  <c r="D79" i="6"/>
  <c r="D80" i="6"/>
  <c r="D81" i="6"/>
  <c r="D82" i="6"/>
  <c r="D83" i="6"/>
  <c r="D84" i="6"/>
  <c r="D11" i="6"/>
  <c r="U11" i="6" l="1"/>
  <c r="D92" i="6"/>
  <c r="R92" i="6"/>
  <c r="I92" i="6"/>
  <c r="W11" i="6" l="1"/>
  <c r="V92" i="6" l="1"/>
  <c r="V102" i="6" s="1"/>
  <c r="V100" i="6"/>
  <c r="T92" i="6"/>
  <c r="S92" i="6"/>
  <c r="Q92" i="6"/>
  <c r="P92" i="6"/>
  <c r="N92" i="6" l="1"/>
  <c r="M85" i="6" l="1"/>
  <c r="M86" i="6"/>
  <c r="M87" i="6"/>
  <c r="M88" i="6"/>
  <c r="M89" i="6"/>
  <c r="R85" i="6" l="1"/>
  <c r="R86" i="6"/>
  <c r="R87" i="6"/>
  <c r="R88" i="6"/>
  <c r="R89" i="6"/>
  <c r="R90" i="6"/>
  <c r="Q85" i="6"/>
  <c r="Q86" i="6"/>
  <c r="Q87" i="6"/>
  <c r="Q88" i="6"/>
  <c r="Q89" i="6"/>
  <c r="Q90" i="6"/>
  <c r="Q91" i="6"/>
  <c r="O85" i="6"/>
  <c r="O86" i="6"/>
  <c r="O87" i="6"/>
  <c r="O88" i="6"/>
  <c r="O89" i="6"/>
  <c r="O90" i="6"/>
  <c r="O91" i="6"/>
  <c r="O92" i="6" l="1"/>
  <c r="J92" i="6"/>
  <c r="U89" i="6"/>
  <c r="W89" i="6" s="1"/>
  <c r="U87" i="6"/>
  <c r="W87" i="6" s="1"/>
  <c r="U86" i="6"/>
  <c r="W86" i="6" s="1"/>
  <c r="U85" i="6"/>
  <c r="W85" i="6" s="1"/>
  <c r="U88" i="6"/>
  <c r="W88" i="6" s="1"/>
  <c r="U90" i="6"/>
  <c r="W90" i="6" s="1"/>
  <c r="K92" i="6" l="1"/>
  <c r="U50" i="6"/>
  <c r="W50" i="6" s="1"/>
  <c r="X50" i="6" s="1"/>
  <c r="U49" i="6"/>
  <c r="W49" i="6" s="1"/>
  <c r="X49" i="6" s="1"/>
  <c r="X11" i="6" l="1"/>
  <c r="G92" i="6"/>
  <c r="M92" i="6"/>
  <c r="U23" i="6"/>
  <c r="W23" i="6" s="1"/>
  <c r="X23" i="6" s="1"/>
  <c r="U42" i="6"/>
  <c r="W42" i="6" s="1"/>
  <c r="X42" i="6" s="1"/>
  <c r="U82" i="6"/>
  <c r="W82" i="6" s="1"/>
  <c r="X82" i="6" s="1"/>
  <c r="U69" i="6"/>
  <c r="W69" i="6" s="1"/>
  <c r="X69" i="6" s="1"/>
  <c r="U55" i="6"/>
  <c r="W55" i="6" s="1"/>
  <c r="X55" i="6" s="1"/>
  <c r="U24" i="6"/>
  <c r="W24" i="6" s="1"/>
  <c r="X24" i="6" s="1"/>
  <c r="E92" i="6"/>
  <c r="F92" i="6"/>
  <c r="H92" i="6"/>
  <c r="U26" i="6"/>
  <c r="W26" i="6" s="1"/>
  <c r="X26" i="6" s="1"/>
  <c r="U22" i="6"/>
  <c r="W22" i="6" s="1"/>
  <c r="X22" i="6" s="1"/>
  <c r="U41" i="6"/>
  <c r="W41" i="6" s="1"/>
  <c r="X41" i="6" s="1"/>
  <c r="U62" i="6"/>
  <c r="W62" i="6" s="1"/>
  <c r="X62" i="6" s="1"/>
  <c r="U61" i="6"/>
  <c r="W61" i="6" s="1"/>
  <c r="X61" i="6" s="1"/>
  <c r="U73" i="6"/>
  <c r="W73" i="6" s="1"/>
  <c r="X73" i="6" s="1"/>
  <c r="U32" i="6"/>
  <c r="W32" i="6" s="1"/>
  <c r="X32" i="6" s="1"/>
  <c r="U21" i="6"/>
  <c r="W21" i="6" s="1"/>
  <c r="X21" i="6" s="1"/>
  <c r="U76" i="6"/>
  <c r="W76" i="6" s="1"/>
  <c r="X76" i="6" s="1"/>
  <c r="U59" i="6"/>
  <c r="W59" i="6" s="1"/>
  <c r="X59" i="6" s="1"/>
  <c r="U36" i="6"/>
  <c r="W36" i="6" s="1"/>
  <c r="X36" i="6" s="1"/>
  <c r="U37" i="6"/>
  <c r="W37" i="6" s="1"/>
  <c r="X37" i="6" s="1"/>
  <c r="U63" i="6"/>
  <c r="W63" i="6" s="1"/>
  <c r="X63" i="6" s="1"/>
  <c r="U27" i="6"/>
  <c r="W27" i="6" s="1"/>
  <c r="X27" i="6" s="1"/>
  <c r="U70" i="6"/>
  <c r="W70" i="6" s="1"/>
  <c r="U68" i="6"/>
  <c r="W68" i="6" s="1"/>
  <c r="X68" i="6" s="1"/>
  <c r="U28" i="6"/>
  <c r="W28" i="6" s="1"/>
  <c r="X28" i="6" s="1"/>
  <c r="U75" i="6"/>
  <c r="W75" i="6" s="1"/>
  <c r="X75" i="6" s="1"/>
  <c r="U72" i="6"/>
  <c r="W72" i="6" s="1"/>
  <c r="X72" i="6" s="1"/>
  <c r="U44" i="6"/>
  <c r="W44" i="6" s="1"/>
  <c r="X44" i="6" s="1"/>
  <c r="U83" i="6"/>
  <c r="W83" i="6" s="1"/>
  <c r="X83" i="6" s="1"/>
  <c r="U35" i="6"/>
  <c r="W35" i="6" s="1"/>
  <c r="X35" i="6" s="1"/>
  <c r="U19" i="6"/>
  <c r="W19" i="6" s="1"/>
  <c r="U80" i="6"/>
  <c r="W80" i="6" s="1"/>
  <c r="X80" i="6" s="1"/>
  <c r="U52" i="6"/>
  <c r="W52" i="6" s="1"/>
  <c r="U84" i="6"/>
  <c r="W84" i="6" s="1"/>
  <c r="X84" i="6" s="1"/>
  <c r="U64" i="6"/>
  <c r="W64" i="6" s="1"/>
  <c r="X64" i="6" s="1"/>
  <c r="U48" i="6"/>
  <c r="W48" i="6" s="1"/>
  <c r="X48" i="6" s="1"/>
  <c r="U43" i="6"/>
  <c r="W43" i="6" s="1"/>
  <c r="X43" i="6" s="1"/>
  <c r="U45" i="6"/>
  <c r="W45" i="6" s="1"/>
  <c r="U46" i="6"/>
  <c r="W46" i="6" s="1"/>
  <c r="U47" i="6"/>
  <c r="W47" i="6" s="1"/>
  <c r="X47" i="6" s="1"/>
  <c r="U79" i="6"/>
  <c r="W79" i="6" s="1"/>
  <c r="X79" i="6" s="1"/>
  <c r="U39" i="6"/>
  <c r="W39" i="6" s="1"/>
  <c r="X39" i="6" s="1"/>
  <c r="U18" i="6"/>
  <c r="W18" i="6" s="1"/>
  <c r="X18" i="6" s="1"/>
  <c r="U81" i="6"/>
  <c r="W81" i="6" s="1"/>
  <c r="X81" i="6" s="1"/>
  <c r="U17" i="6"/>
  <c r="W17" i="6" s="1"/>
  <c r="X17" i="6" s="1"/>
  <c r="U16" i="6"/>
  <c r="W16" i="6" s="1"/>
  <c r="X16" i="6" s="1"/>
  <c r="U53" i="6"/>
  <c r="W53" i="6" s="1"/>
  <c r="X53" i="6" s="1"/>
  <c r="U34" i="6"/>
  <c r="W34" i="6" s="1"/>
  <c r="X34" i="6" s="1"/>
  <c r="U74" i="6"/>
  <c r="W74" i="6" s="1"/>
  <c r="X74" i="6" s="1"/>
  <c r="U29" i="6"/>
  <c r="W29" i="6" s="1"/>
  <c r="X29" i="6" s="1"/>
  <c r="U77" i="6"/>
  <c r="W77" i="6" s="1"/>
  <c r="U78" i="6"/>
  <c r="W78" i="6" s="1"/>
  <c r="X78" i="6" s="1"/>
  <c r="U51" i="6"/>
  <c r="W51" i="6" s="1"/>
  <c r="X51" i="6" s="1"/>
  <c r="U60" i="6"/>
  <c r="W60" i="6" s="1"/>
  <c r="X60" i="6" s="1"/>
  <c r="U15" i="6"/>
  <c r="U25" i="6"/>
  <c r="W25" i="6" s="1"/>
  <c r="X25" i="6" s="1"/>
  <c r="U14" i="6"/>
  <c r="U13" i="6"/>
  <c r="U67" i="6"/>
  <c r="W67" i="6" s="1"/>
  <c r="X67" i="6" s="1"/>
  <c r="U54" i="6"/>
  <c r="W54" i="6" s="1"/>
  <c r="X54" i="6" s="1"/>
  <c r="U57" i="6"/>
  <c r="W57" i="6" s="1"/>
  <c r="X57" i="6" s="1"/>
  <c r="U33" i="6"/>
  <c r="W33" i="6" s="1"/>
  <c r="X33" i="6" s="1"/>
  <c r="U38" i="6"/>
  <c r="W38" i="6" s="1"/>
  <c r="X38" i="6" s="1"/>
  <c r="U56" i="6"/>
  <c r="W56" i="6" s="1"/>
  <c r="X56" i="6" s="1"/>
  <c r="U20" i="6"/>
  <c r="W20" i="6" s="1"/>
  <c r="X20" i="6" s="1"/>
  <c r="U40" i="6"/>
  <c r="W40" i="6" s="1"/>
  <c r="X40" i="6" s="1"/>
  <c r="U65" i="6"/>
  <c r="W65" i="6" s="1"/>
  <c r="X65" i="6" s="1"/>
  <c r="U66" i="6"/>
  <c r="W66" i="6" s="1"/>
  <c r="X66" i="6" s="1"/>
  <c r="U30" i="6"/>
  <c r="W30" i="6" s="1"/>
  <c r="X30" i="6" s="1"/>
  <c r="U31" i="6"/>
  <c r="W31" i="6" s="1"/>
  <c r="X31" i="6" s="1"/>
  <c r="U12" i="6"/>
  <c r="U71" i="6"/>
  <c r="W71" i="6" s="1"/>
  <c r="X71" i="6" s="1"/>
  <c r="U58" i="6"/>
  <c r="W58" i="6" s="1"/>
  <c r="X58" i="6" s="1"/>
  <c r="U92" i="6" l="1"/>
  <c r="L92" i="6"/>
  <c r="U89" i="39"/>
  <c r="U93" i="39" s="1"/>
  <c r="S89" i="39"/>
  <c r="R89" i="39"/>
  <c r="Q89" i="39"/>
  <c r="P89" i="39"/>
  <c r="N89" i="39"/>
  <c r="M89" i="39"/>
  <c r="L89" i="39"/>
  <c r="K89" i="39"/>
  <c r="J89" i="39"/>
  <c r="I89" i="39"/>
  <c r="H89" i="39"/>
  <c r="G89" i="39"/>
  <c r="F89" i="39"/>
  <c r="E89" i="39"/>
  <c r="D89" i="39"/>
  <c r="T87" i="39"/>
  <c r="V87" i="39" s="1"/>
  <c r="T86" i="39"/>
  <c r="V86" i="39" s="1"/>
  <c r="T85" i="39"/>
  <c r="V85" i="39" s="1"/>
  <c r="T84" i="39"/>
  <c r="V84" i="39" s="1"/>
  <c r="V83" i="39"/>
  <c r="T83" i="39"/>
  <c r="V82" i="39"/>
  <c r="T82" i="39"/>
  <c r="W81" i="39"/>
  <c r="T81" i="39"/>
  <c r="V81" i="39" s="1"/>
  <c r="W80" i="39"/>
  <c r="V80" i="39"/>
  <c r="T80" i="39"/>
  <c r="T79" i="39"/>
  <c r="V79" i="39" s="1"/>
  <c r="W79" i="39" s="1"/>
  <c r="T78" i="39"/>
  <c r="V78" i="39" s="1"/>
  <c r="W78" i="39" s="1"/>
  <c r="W77" i="39"/>
  <c r="T77" i="39"/>
  <c r="V77" i="39" s="1"/>
  <c r="V76" i="39"/>
  <c r="W76" i="39" s="1"/>
  <c r="T76" i="39"/>
  <c r="V75" i="39"/>
  <c r="W75" i="39" s="1"/>
  <c r="T75" i="39"/>
  <c r="W74" i="39"/>
  <c r="T74" i="39"/>
  <c r="V74" i="39" s="1"/>
  <c r="V73" i="39"/>
  <c r="W73" i="39" s="1"/>
  <c r="T73" i="39"/>
  <c r="V72" i="39"/>
  <c r="W72" i="39" s="1"/>
  <c r="T72" i="39"/>
  <c r="T71" i="39"/>
  <c r="V71" i="39" s="1"/>
  <c r="W71" i="39" s="1"/>
  <c r="T70" i="39"/>
  <c r="V70" i="39" s="1"/>
  <c r="W70" i="39" s="1"/>
  <c r="T69" i="39"/>
  <c r="V69" i="39" s="1"/>
  <c r="W69" i="39" s="1"/>
  <c r="T68" i="39"/>
  <c r="V68" i="39" s="1"/>
  <c r="W68" i="39" s="1"/>
  <c r="T67" i="39"/>
  <c r="V67" i="39" s="1"/>
  <c r="W67" i="39" s="1"/>
  <c r="V66" i="39"/>
  <c r="W66" i="39" s="1"/>
  <c r="T66" i="39"/>
  <c r="T65" i="39"/>
  <c r="V65" i="39" s="1"/>
  <c r="W65" i="39" s="1"/>
  <c r="T64" i="39"/>
  <c r="V64" i="39" s="1"/>
  <c r="W64" i="39" s="1"/>
  <c r="T63" i="39"/>
  <c r="V63" i="39" s="1"/>
  <c r="W63" i="39" s="1"/>
  <c r="T62" i="39"/>
  <c r="V62" i="39" s="1"/>
  <c r="W62" i="39" s="1"/>
  <c r="T61" i="39"/>
  <c r="V61" i="39" s="1"/>
  <c r="W61" i="39" s="1"/>
  <c r="T60" i="39"/>
  <c r="V60" i="39" s="1"/>
  <c r="W60" i="39" s="1"/>
  <c r="V59" i="39"/>
  <c r="W59" i="39" s="1"/>
  <c r="T59" i="39"/>
  <c r="T58" i="39"/>
  <c r="V58" i="39" s="1"/>
  <c r="W58" i="39" s="1"/>
  <c r="V57" i="39"/>
  <c r="W57" i="39" s="1"/>
  <c r="T57" i="39"/>
  <c r="V56" i="39"/>
  <c r="W56" i="39" s="1"/>
  <c r="T56" i="39"/>
  <c r="T55" i="39"/>
  <c r="V55" i="39" s="1"/>
  <c r="W55" i="39" s="1"/>
  <c r="T54" i="39"/>
  <c r="V54" i="39" s="1"/>
  <c r="W54" i="39" s="1"/>
  <c r="T53" i="39"/>
  <c r="V53" i="39" s="1"/>
  <c r="W53" i="39" s="1"/>
  <c r="T52" i="39"/>
  <c r="V52" i="39" s="1"/>
  <c r="W52" i="39" s="1"/>
  <c r="T51" i="39"/>
  <c r="V51" i="39" s="1"/>
  <c r="W51" i="39" s="1"/>
  <c r="V50" i="39"/>
  <c r="W50" i="39" s="1"/>
  <c r="T50" i="39"/>
  <c r="T49" i="39"/>
  <c r="V49" i="39" s="1"/>
  <c r="W49" i="39" s="1"/>
  <c r="T48" i="39"/>
  <c r="V48" i="39" s="1"/>
  <c r="W48" i="39" s="1"/>
  <c r="T47" i="39"/>
  <c r="V47" i="39" s="1"/>
  <c r="W47" i="39" s="1"/>
  <c r="T46" i="39"/>
  <c r="V46" i="39" s="1"/>
  <c r="W46" i="39" s="1"/>
  <c r="T45" i="39"/>
  <c r="V45" i="39" s="1"/>
  <c r="W45" i="39" s="1"/>
  <c r="T44" i="39"/>
  <c r="V44" i="39" s="1"/>
  <c r="W44" i="39" s="1"/>
  <c r="V43" i="39"/>
  <c r="W43" i="39" s="1"/>
  <c r="T43" i="39"/>
  <c r="T42" i="39"/>
  <c r="V42" i="39" s="1"/>
  <c r="W42" i="39" s="1"/>
  <c r="V41" i="39"/>
  <c r="W41" i="39" s="1"/>
  <c r="T41" i="39"/>
  <c r="V40" i="39"/>
  <c r="W40" i="39" s="1"/>
  <c r="T40" i="39"/>
  <c r="T39" i="39"/>
  <c r="V39" i="39" s="1"/>
  <c r="W39" i="39" s="1"/>
  <c r="T38" i="39"/>
  <c r="V38" i="39" s="1"/>
  <c r="W38" i="39" s="1"/>
  <c r="V37" i="39"/>
  <c r="W37" i="39" s="1"/>
  <c r="T37" i="39"/>
  <c r="T36" i="39"/>
  <c r="V36" i="39" s="1"/>
  <c r="W36" i="39" s="1"/>
  <c r="T35" i="39"/>
  <c r="V35" i="39" s="1"/>
  <c r="W35" i="39" s="1"/>
  <c r="V34" i="39"/>
  <c r="W34" i="39" s="1"/>
  <c r="T34" i="39"/>
  <c r="T33" i="39"/>
  <c r="V33" i="39" s="1"/>
  <c r="W33" i="39" s="1"/>
  <c r="T32" i="39"/>
  <c r="V32" i="39" s="1"/>
  <c r="W32" i="39" s="1"/>
  <c r="W31" i="39"/>
  <c r="T31" i="39"/>
  <c r="V31" i="39" s="1"/>
  <c r="O30" i="39"/>
  <c r="O89" i="39" s="1"/>
  <c r="V29" i="39"/>
  <c r="W29" i="39" s="1"/>
  <c r="T29" i="39"/>
  <c r="T28" i="39"/>
  <c r="V28" i="39" s="1"/>
  <c r="W28" i="39" s="1"/>
  <c r="T27" i="39"/>
  <c r="V27" i="39" s="1"/>
  <c r="W27" i="39" s="1"/>
  <c r="T26" i="39"/>
  <c r="V26" i="39" s="1"/>
  <c r="W26" i="39" s="1"/>
  <c r="T25" i="39"/>
  <c r="V25" i="39" s="1"/>
  <c r="W25" i="39" s="1"/>
  <c r="T24" i="39"/>
  <c r="V24" i="39" s="1"/>
  <c r="W24" i="39" s="1"/>
  <c r="T23" i="39"/>
  <c r="V23" i="39" s="1"/>
  <c r="W23" i="39" s="1"/>
  <c r="W22" i="39"/>
  <c r="V22" i="39"/>
  <c r="T22" i="39"/>
  <c r="T21" i="39"/>
  <c r="V21" i="39" s="1"/>
  <c r="W21" i="39" s="1"/>
  <c r="V20" i="39"/>
  <c r="W20" i="39" s="1"/>
  <c r="T20" i="39"/>
  <c r="V19" i="39"/>
  <c r="W19" i="39" s="1"/>
  <c r="T19" i="39"/>
  <c r="T18" i="39"/>
  <c r="V18" i="39" s="1"/>
  <c r="W18" i="39" s="1"/>
  <c r="T17" i="39"/>
  <c r="V17" i="39" s="1"/>
  <c r="W17" i="39" s="1"/>
  <c r="T16" i="39"/>
  <c r="V16" i="39" s="1"/>
  <c r="W16" i="39" s="1"/>
  <c r="T15" i="39"/>
  <c r="V15" i="39" s="1"/>
  <c r="W15" i="39" s="1"/>
  <c r="T14" i="39"/>
  <c r="V14" i="39" s="1"/>
  <c r="W14" i="39" s="1"/>
  <c r="T13" i="39"/>
  <c r="V13" i="39" s="1"/>
  <c r="W13" i="39" s="1"/>
  <c r="W12" i="39"/>
  <c r="T12" i="39"/>
  <c r="V12" i="39" s="1"/>
  <c r="T11" i="39"/>
  <c r="Y13" i="39" l="1"/>
  <c r="T30" i="39"/>
  <c r="V30" i="39" s="1"/>
  <c r="W30" i="39" s="1"/>
  <c r="V11" i="39"/>
  <c r="Y11" i="39"/>
  <c r="V89" i="39" l="1"/>
  <c r="W89" i="39" s="1"/>
  <c r="W11" i="39"/>
  <c r="T89" i="39"/>
  <c r="D33" i="38" l="1"/>
  <c r="F32" i="38"/>
  <c r="E31" i="38"/>
  <c r="E33" i="38" s="1"/>
  <c r="D31" i="38"/>
  <c r="C31" i="38"/>
  <c r="C33" i="38" s="1"/>
  <c r="F30" i="38"/>
  <c r="F29" i="38"/>
  <c r="F28" i="38"/>
  <c r="F27" i="38"/>
  <c r="F26" i="38"/>
  <c r="F25" i="38"/>
  <c r="F24" i="38"/>
  <c r="F23" i="38"/>
  <c r="F22" i="38"/>
  <c r="F21" i="38"/>
  <c r="F20" i="38"/>
  <c r="F19" i="38"/>
  <c r="F18" i="38"/>
  <c r="F17" i="38"/>
  <c r="F16" i="38"/>
  <c r="F15" i="38"/>
  <c r="F14" i="38"/>
  <c r="F13" i="38"/>
  <c r="F12" i="38"/>
  <c r="F11" i="38"/>
  <c r="F10" i="38"/>
  <c r="F31" i="38" s="1"/>
  <c r="F33" i="38" s="1"/>
  <c r="E29" i="37"/>
  <c r="F28" i="37"/>
  <c r="E27" i="37"/>
  <c r="D27" i="37"/>
  <c r="D29" i="37" s="1"/>
  <c r="C27" i="37"/>
  <c r="C29" i="37" s="1"/>
  <c r="F26" i="37"/>
  <c r="F25" i="37"/>
  <c r="F24" i="37"/>
  <c r="F23" i="37"/>
  <c r="F22" i="37"/>
  <c r="F21" i="37"/>
  <c r="F20" i="37"/>
  <c r="F19" i="37"/>
  <c r="K18" i="37"/>
  <c r="F18" i="37"/>
  <c r="F17" i="37"/>
  <c r="F16" i="37"/>
  <c r="F15" i="37"/>
  <c r="F14" i="37"/>
  <c r="F13" i="37"/>
  <c r="F12" i="37"/>
  <c r="F11" i="37"/>
  <c r="F10" i="37"/>
  <c r="F9" i="37"/>
  <c r="F27" i="37" s="1"/>
  <c r="F29" i="37" s="1"/>
  <c r="D32" i="36"/>
  <c r="C32" i="36"/>
  <c r="F31" i="36"/>
  <c r="F30" i="36"/>
  <c r="F32" i="36" s="1"/>
  <c r="D30" i="36"/>
  <c r="C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E14" i="36"/>
  <c r="E30" i="36" s="1"/>
  <c r="E32" i="36" s="1"/>
  <c r="F13" i="36"/>
  <c r="F12" i="36"/>
  <c r="F11" i="36"/>
  <c r="F39" i="35"/>
  <c r="E38" i="35"/>
  <c r="E40" i="35" s="1"/>
  <c r="D38" i="35"/>
  <c r="D40" i="35" s="1"/>
  <c r="C38" i="35"/>
  <c r="C40" i="35" s="1"/>
  <c r="F37" i="35"/>
  <c r="F36" i="35"/>
  <c r="F35" i="35"/>
  <c r="F34" i="35"/>
  <c r="F33" i="35"/>
  <c r="F32" i="35"/>
  <c r="F31" i="35"/>
  <c r="F30" i="35"/>
  <c r="F29" i="35"/>
  <c r="F28" i="35"/>
  <c r="F27" i="35"/>
  <c r="F26" i="35"/>
  <c r="F25" i="35"/>
  <c r="F24" i="35"/>
  <c r="F23" i="35"/>
  <c r="F22" i="35"/>
  <c r="F21" i="35"/>
  <c r="F20" i="35"/>
  <c r="F19" i="35"/>
  <c r="F18" i="35"/>
  <c r="F17" i="35"/>
  <c r="F16" i="35"/>
  <c r="F15" i="35"/>
  <c r="F14" i="35"/>
  <c r="F13" i="35"/>
  <c r="F12" i="35"/>
  <c r="F11" i="35"/>
  <c r="F10" i="35"/>
  <c r="F38" i="35" s="1"/>
  <c r="F40" i="35" s="1"/>
  <c r="E21" i="34"/>
  <c r="D21" i="34"/>
  <c r="C21" i="34"/>
  <c r="F20" i="34"/>
  <c r="E19" i="34"/>
  <c r="D19" i="34"/>
  <c r="C19" i="34"/>
  <c r="F18" i="34"/>
  <c r="F17" i="34"/>
  <c r="F16" i="34"/>
  <c r="F15" i="34"/>
  <c r="F14" i="34"/>
  <c r="F13" i="34"/>
  <c r="F12" i="34"/>
  <c r="F11" i="34"/>
  <c r="F10" i="34"/>
  <c r="F19" i="34" s="1"/>
  <c r="F21" i="34" s="1"/>
  <c r="E30" i="33"/>
  <c r="F29" i="33"/>
  <c r="E28" i="33"/>
  <c r="D28" i="33"/>
  <c r="D30" i="33" s="1"/>
  <c r="C28" i="33"/>
  <c r="C30" i="33" s="1"/>
  <c r="F27" i="33"/>
  <c r="F26" i="33"/>
  <c r="F25" i="33"/>
  <c r="F24" i="33"/>
  <c r="F23" i="33"/>
  <c r="F22" i="33"/>
  <c r="F21" i="33"/>
  <c r="F20" i="33"/>
  <c r="F19" i="33"/>
  <c r="F18" i="33"/>
  <c r="F17" i="33"/>
  <c r="F16" i="33"/>
  <c r="F15" i="33"/>
  <c r="F14" i="33"/>
  <c r="F13" i="33"/>
  <c r="F12" i="33"/>
  <c r="F11" i="33"/>
  <c r="F10" i="33"/>
  <c r="F28" i="33" s="1"/>
  <c r="F30" i="33" s="1"/>
  <c r="D32" i="32"/>
  <c r="C32" i="32"/>
  <c r="F31" i="32"/>
  <c r="E30" i="32"/>
  <c r="E32" i="32" s="1"/>
  <c r="D30" i="32"/>
  <c r="C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30" i="32" s="1"/>
  <c r="F32" i="32" s="1"/>
  <c r="F12" i="32"/>
  <c r="F11" i="32"/>
  <c r="F10" i="32"/>
  <c r="F23" i="31"/>
  <c r="E22" i="31"/>
  <c r="E24" i="31" s="1"/>
  <c r="D22" i="31"/>
  <c r="D24" i="31" s="1"/>
  <c r="C22" i="31"/>
  <c r="C24" i="31" s="1"/>
  <c r="F21" i="31"/>
  <c r="F22" i="31" s="1"/>
  <c r="F24" i="31" s="1"/>
  <c r="F20" i="31"/>
  <c r="F19" i="31"/>
  <c r="F18" i="31"/>
  <c r="F17" i="31"/>
  <c r="F16" i="31"/>
  <c r="F15" i="31"/>
  <c r="F14" i="31"/>
  <c r="F13" i="31"/>
  <c r="F12" i="31"/>
  <c r="F11" i="31"/>
  <c r="E23" i="30"/>
  <c r="D23" i="30"/>
  <c r="F22" i="30"/>
  <c r="F21" i="30"/>
  <c r="F23" i="30" s="1"/>
  <c r="E21" i="30"/>
  <c r="D21" i="30"/>
  <c r="C21" i="30"/>
  <c r="C23" i="30" s="1"/>
  <c r="F20" i="30"/>
  <c r="F19" i="30"/>
  <c r="F18" i="30"/>
  <c r="F17" i="30"/>
  <c r="F16" i="30"/>
  <c r="F15" i="30"/>
  <c r="F14" i="30"/>
  <c r="F13" i="30"/>
  <c r="F12" i="30"/>
  <c r="F11" i="30"/>
  <c r="F10" i="30"/>
  <c r="E28" i="29"/>
  <c r="F27" i="29"/>
  <c r="E26" i="29"/>
  <c r="D26" i="29"/>
  <c r="D28" i="29" s="1"/>
  <c r="C26" i="29"/>
  <c r="C28" i="29" s="1"/>
  <c r="F25" i="29"/>
  <c r="F24" i="29"/>
  <c r="F23" i="29"/>
  <c r="F22" i="29"/>
  <c r="F21" i="29"/>
  <c r="F20" i="29"/>
  <c r="F19" i="29"/>
  <c r="F18" i="29"/>
  <c r="F17" i="29"/>
  <c r="F16" i="29"/>
  <c r="F15" i="29"/>
  <c r="F14" i="29"/>
  <c r="F13" i="29"/>
  <c r="F12" i="29"/>
  <c r="F11" i="29"/>
  <c r="F10" i="29"/>
  <c r="F26" i="29" s="1"/>
  <c r="F28" i="29" s="1"/>
  <c r="F18" i="28"/>
  <c r="E17" i="28"/>
  <c r="E19" i="28" s="1"/>
  <c r="D17" i="28"/>
  <c r="D19" i="28" s="1"/>
  <c r="C17" i="28"/>
  <c r="C19" i="28" s="1"/>
  <c r="F16" i="28"/>
  <c r="F15" i="28"/>
  <c r="F14" i="28"/>
  <c r="F13" i="28"/>
  <c r="F12" i="28"/>
  <c r="F11" i="28"/>
  <c r="F10" i="28"/>
  <c r="F9" i="28"/>
  <c r="F17" i="28" s="1"/>
  <c r="F19" i="28" s="1"/>
  <c r="C26" i="27"/>
  <c r="F25" i="27"/>
  <c r="E24" i="27"/>
  <c r="E26" i="27" s="1"/>
  <c r="D24" i="27"/>
  <c r="D26" i="27" s="1"/>
  <c r="C24" i="27"/>
  <c r="F22" i="27"/>
  <c r="F21" i="27"/>
  <c r="F20" i="27"/>
  <c r="F19" i="27"/>
  <c r="F18" i="27"/>
  <c r="F17" i="27"/>
  <c r="F16" i="27"/>
  <c r="F15" i="27"/>
  <c r="F14" i="27"/>
  <c r="F13" i="27"/>
  <c r="F12" i="27"/>
  <c r="F11" i="27"/>
  <c r="F10" i="27"/>
  <c r="F24" i="27" s="1"/>
  <c r="F26" i="27" s="1"/>
  <c r="E23" i="26"/>
  <c r="F22" i="26"/>
  <c r="E21" i="26"/>
  <c r="D21" i="26"/>
  <c r="D23" i="26" s="1"/>
  <c r="C21" i="26"/>
  <c r="C23" i="26" s="1"/>
  <c r="F20" i="26"/>
  <c r="F19" i="26"/>
  <c r="F18" i="26"/>
  <c r="F17" i="26"/>
  <c r="F16" i="26"/>
  <c r="F15" i="26"/>
  <c r="F14" i="26"/>
  <c r="F13" i="26"/>
  <c r="F12" i="26"/>
  <c r="F11" i="26"/>
  <c r="F10" i="26"/>
  <c r="F21" i="26" s="1"/>
  <c r="F23" i="26" s="1"/>
  <c r="F25" i="25"/>
  <c r="E24" i="25"/>
  <c r="E26" i="25" s="1"/>
  <c r="D24" i="25"/>
  <c r="D26" i="25" s="1"/>
  <c r="C24" i="25"/>
  <c r="C26" i="25" s="1"/>
  <c r="F23" i="25"/>
  <c r="F22" i="25"/>
  <c r="F21" i="25"/>
  <c r="F20" i="25"/>
  <c r="F19" i="25"/>
  <c r="F18" i="25"/>
  <c r="F17" i="25"/>
  <c r="F16" i="25"/>
  <c r="F15" i="25"/>
  <c r="F14" i="25"/>
  <c r="F13" i="25"/>
  <c r="F12" i="25"/>
  <c r="F11" i="25"/>
  <c r="F24" i="25" s="1"/>
  <c r="F26" i="25" s="1"/>
  <c r="C20" i="24"/>
  <c r="F19" i="24"/>
  <c r="E18" i="24"/>
  <c r="E20" i="24" s="1"/>
  <c r="D18" i="24"/>
  <c r="D20" i="24" s="1"/>
  <c r="C18" i="24"/>
  <c r="F17" i="24"/>
  <c r="F16" i="24"/>
  <c r="F18" i="24" s="1"/>
  <c r="F20" i="24" s="1"/>
  <c r="F15" i="24"/>
  <c r="F14" i="24"/>
  <c r="F13" i="24"/>
  <c r="F12" i="24"/>
  <c r="F11" i="24"/>
  <c r="D21" i="23"/>
  <c r="C21" i="23"/>
  <c r="F20" i="23"/>
  <c r="E19" i="23"/>
  <c r="D19" i="23"/>
  <c r="C19" i="23"/>
  <c r="F18" i="23"/>
  <c r="F17" i="23"/>
  <c r="F16" i="23"/>
  <c r="F15" i="23"/>
  <c r="F14" i="23"/>
  <c r="F13" i="23"/>
  <c r="F12" i="23"/>
  <c r="F11" i="23"/>
  <c r="F10" i="23"/>
  <c r="F9" i="23"/>
  <c r="F19" i="23" s="1"/>
  <c r="C22" i="23" l="1"/>
  <c r="F22" i="23"/>
  <c r="F21" i="23"/>
  <c r="D22" i="23"/>
  <c r="E22" i="23"/>
  <c r="E21" i="23"/>
  <c r="W12" i="6" l="1"/>
  <c r="X12" i="6" s="1"/>
  <c r="W13" i="6"/>
  <c r="X13" i="6" s="1"/>
  <c r="W14" i="6"/>
  <c r="X14" i="6" s="1"/>
  <c r="W15" i="6"/>
  <c r="X15" i="6" s="1"/>
  <c r="W92" i="6" l="1"/>
  <c r="X92" i="6" s="1"/>
</calcChain>
</file>

<file path=xl/sharedStrings.xml><?xml version="1.0" encoding="utf-8"?>
<sst xmlns="http://schemas.openxmlformats.org/spreadsheetml/2006/main" count="1452" uniqueCount="226">
  <si>
    <t>Salaries &amp; Benefits</t>
  </si>
  <si>
    <t>Administration</t>
  </si>
  <si>
    <t>Board</t>
  </si>
  <si>
    <t>Human Resources</t>
  </si>
  <si>
    <t>Internal Audit</t>
  </si>
  <si>
    <t>Legal Services</t>
  </si>
  <si>
    <t>Public Affairs</t>
  </si>
  <si>
    <t>Shared Services</t>
  </si>
  <si>
    <t>Information Technology</t>
  </si>
  <si>
    <t>Maintenance</t>
  </si>
  <si>
    <t>Operations</t>
  </si>
  <si>
    <t>Project Delivery</t>
  </si>
  <si>
    <t>Account</t>
  </si>
  <si>
    <t>Totals</t>
  </si>
  <si>
    <t>Procurement and Business Diversity</t>
  </si>
  <si>
    <t>Accounting</t>
  </si>
  <si>
    <t>Contact Center and Collections</t>
  </si>
  <si>
    <t>Consulting &amp; Professional Services</t>
  </si>
  <si>
    <t>Business &amp; Marketing</t>
  </si>
  <si>
    <t>Administrative</t>
  </si>
  <si>
    <t>Increase or (Decrease) Amount</t>
  </si>
  <si>
    <t>Increase or (Decrease) Percent</t>
  </si>
  <si>
    <t>521101-Meeting Expense</t>
  </si>
  <si>
    <t>523101-Insurance Expense - Other</t>
  </si>
  <si>
    <t>523301-Recruitment</t>
  </si>
  <si>
    <t>523305-Employee Appreciation</t>
  </si>
  <si>
    <t>523501-Travel</t>
  </si>
  <si>
    <t>523601-Dues &amp; Subscriptions</t>
  </si>
  <si>
    <t>523902-Liability Claims</t>
  </si>
  <si>
    <t>531101-Office Supplies</t>
  </si>
  <si>
    <t>531105-Freight and Express</t>
  </si>
  <si>
    <t>531401-Books &amp; Periodicals</t>
  </si>
  <si>
    <t>573001-Bank Charges</t>
  </si>
  <si>
    <t>523203-Public Information Fees</t>
  </si>
  <si>
    <t>523303-Television &amp; Radio</t>
  </si>
  <si>
    <t>523304-Promotional Expenses</t>
  </si>
  <si>
    <t>523401-Printing and Photographic</t>
  </si>
  <si>
    <t>523402-Maps &amp; Pamphlets</t>
  </si>
  <si>
    <t>521201-Consulting/Professional</t>
  </si>
  <si>
    <t>521202-Legal Fees</t>
  </si>
  <si>
    <t>521203-Auditing Fees</t>
  </si>
  <si>
    <t>521204-Trustee Fees</t>
  </si>
  <si>
    <t>521207-Traffic Engineering Fees</t>
  </si>
  <si>
    <t>521208-Police Services (DPS)</t>
  </si>
  <si>
    <t>521209-Armored Car Services</t>
  </si>
  <si>
    <t>521212-Outside Maintenance Services</t>
  </si>
  <si>
    <t>523851-Temporary Contract Labor</t>
  </si>
  <si>
    <t>522202-Landscaping</t>
  </si>
  <si>
    <t>522301-Rentals - Land</t>
  </si>
  <si>
    <t>522302-Rentals - Equipment</t>
  </si>
  <si>
    <t>523801-Licenses</t>
  </si>
  <si>
    <t>531102-Other Materials and Supplies</t>
  </si>
  <si>
    <t>531107-Motor Fuel Expense</t>
  </si>
  <si>
    <t>531211-Water</t>
  </si>
  <si>
    <t>531221-Gas</t>
  </si>
  <si>
    <t>531231-Electricity</t>
  </si>
  <si>
    <t>531601-Small Tools and Shop Supplies</t>
  </si>
  <si>
    <t>531701-Uniforms</t>
  </si>
  <si>
    <t>523201-Postage</t>
  </si>
  <si>
    <t>523202-Telecommunications</t>
  </si>
  <si>
    <t>523701-Education and Training</t>
  </si>
  <si>
    <t>531103-Mobile Equipment Expense</t>
  </si>
  <si>
    <t>531501-Inven for resale(toll tags)</t>
  </si>
  <si>
    <t>531651-Software</t>
  </si>
  <si>
    <t>573002-Credit Card Fees</t>
  </si>
  <si>
    <t>511101-Salaries and Wages-Direct</t>
  </si>
  <si>
    <t>511202-Salaries and Wages-Internship</t>
  </si>
  <si>
    <t>511301-Salaries and Wage-Overtime</t>
  </si>
  <si>
    <t>512101-Group Insurance</t>
  </si>
  <si>
    <t>512401-Retirement Contributions</t>
  </si>
  <si>
    <t>512402-Retirement Contr.-Internship</t>
  </si>
  <si>
    <t>512501-Tuition Reimbursement</t>
  </si>
  <si>
    <t>512601-Unemployment Insurance</t>
  </si>
  <si>
    <t>512602-OPEB Annual Req'd Contribution</t>
  </si>
  <si>
    <t>512701-Worker's Comp Ins</t>
  </si>
  <si>
    <t>Traffic &amp; Incident Mgmt</t>
  </si>
  <si>
    <t>Region</t>
  </si>
  <si>
    <t>523302-Digital_Out of Home</t>
  </si>
  <si>
    <t>Enterprise Fund (Regional Tolling Services)</t>
  </si>
  <si>
    <t>FY2022
Budget</t>
  </si>
  <si>
    <t>Treasury &amp; Financial Planning</t>
  </si>
  <si>
    <t xml:space="preserve"> </t>
  </si>
  <si>
    <t>6688007 (TSA)</t>
  </si>
  <si>
    <t>176001-Utility Relo (07)</t>
  </si>
  <si>
    <t>176001-Equipment/Hardware (05)</t>
  </si>
  <si>
    <t>176001-Construction</t>
  </si>
  <si>
    <t>173005-Design (03)</t>
  </si>
  <si>
    <t>173005-Planning (02)</t>
  </si>
  <si>
    <t>173005-Administration (01)</t>
  </si>
  <si>
    <t>173003-Right of Way (06)</t>
  </si>
  <si>
    <t>541403-Infrastructure-Other</t>
  </si>
  <si>
    <t>541402-Infrastructure Right -of -Way</t>
  </si>
  <si>
    <t>541401-Infrastructure Rdway/Hwy/Bridg</t>
  </si>
  <si>
    <t>541302-Building Improvements</t>
  </si>
  <si>
    <t>541301-Buildings</t>
  </si>
  <si>
    <t>531641-Computers</t>
  </si>
  <si>
    <t>531621-Vehicles</t>
  </si>
  <si>
    <t>531611-Machinery</t>
  </si>
  <si>
    <t>531261-Utility Relocation Costs</t>
  </si>
  <si>
    <t>531106-Electronic Supplies</t>
  </si>
  <si>
    <t>522206-Bridge Repairs</t>
  </si>
  <si>
    <t>522205-Pavement &amp; Shoulders</t>
  </si>
  <si>
    <t>522204-Pavement Markings</t>
  </si>
  <si>
    <t>522203-Signing Expense</t>
  </si>
  <si>
    <t>522201-Repairs and Maintenance</t>
  </si>
  <si>
    <t>521301-Consulting/Profess Serv Tech</t>
  </si>
  <si>
    <t>521213-General Engineering</t>
  </si>
  <si>
    <t>521205-Rating Agency Fees</t>
  </si>
  <si>
    <t>3.5% for SSRP</t>
  </si>
  <si>
    <t>8.02% of total salaries</t>
  </si>
  <si>
    <t>Increase or
(Decrease)
Percent</t>
  </si>
  <si>
    <t>Increase or
(Decrease)
Amount</t>
  </si>
  <si>
    <t>FY2023
Budget</t>
  </si>
  <si>
    <t>Budget</t>
  </si>
  <si>
    <t>Salaries and Wages-Direct - (511101)</t>
  </si>
  <si>
    <t>Retirement Contributions - (512401)</t>
  </si>
  <si>
    <t>Meeting Expense - (521101)</t>
  </si>
  <si>
    <t>Consulting/Professional - (521201)</t>
  </si>
  <si>
    <t>Promotional Expenses - (523304)</t>
  </si>
  <si>
    <t>Travel - (523501)</t>
  </si>
  <si>
    <t>Dues &amp; Subscriptions - (523601)</t>
  </si>
  <si>
    <t>Education and Training - (523701)</t>
  </si>
  <si>
    <t>Office Supplies - (531101)</t>
  </si>
  <si>
    <t>Freight and Express - (531105)</t>
  </si>
  <si>
    <t>Auditing Fees - (521203)</t>
  </si>
  <si>
    <t>Printing and Photographic - (523401)</t>
  </si>
  <si>
    <t>Licenses - (523801)</t>
  </si>
  <si>
    <t>Total</t>
  </si>
  <si>
    <t>Public Information Fees - (523203)</t>
  </si>
  <si>
    <t>Trustee Fees - (521204)</t>
  </si>
  <si>
    <t>Traffic Engineering Fees - (521207)</t>
  </si>
  <si>
    <t>Bank Charges - (573001)</t>
  </si>
  <si>
    <t>Group Insurance - (512101)</t>
  </si>
  <si>
    <t>Unemployment Insurance - (512601)</t>
  </si>
  <si>
    <t>Worker's Comp Ins - (512701)</t>
  </si>
  <si>
    <t>Salaries and Wages-Internship - (511202)</t>
  </si>
  <si>
    <t>Salaries and Wage-Overtime - (511301)</t>
  </si>
  <si>
    <t>Retirement Contr.-Internship -(512402)</t>
  </si>
  <si>
    <t>Tuition Reimbursement - (512501)</t>
  </si>
  <si>
    <t>Recruitment - (523301)</t>
  </si>
  <si>
    <t>Temporary Contract Labor - (523851)</t>
  </si>
  <si>
    <t>Books &amp; Periodicals - (531401)</t>
  </si>
  <si>
    <t>Retirement Contr.-Internship - (512402)</t>
  </si>
  <si>
    <t>Legal Fees - (521202)</t>
  </si>
  <si>
    <t>Armored Car Services - (521209)</t>
  </si>
  <si>
    <t>Rentals - Equipment - (522302)</t>
  </si>
  <si>
    <t>Postage - (523201)</t>
  </si>
  <si>
    <t>Inven for resale(toll tags) - (531501)</t>
  </si>
  <si>
    <t>Uniforms - (531701)</t>
  </si>
  <si>
    <t>Credit Card Fees - (573002)</t>
  </si>
  <si>
    <t>Outside Maintenance Services - (521212)</t>
  </si>
  <si>
    <t>Telecommunications - (523202)</t>
  </si>
  <si>
    <t>Other Materials and Supplies - (531102)</t>
  </si>
  <si>
    <t>Software - (531651)</t>
  </si>
  <si>
    <t>Landscaping - (522202)</t>
  </si>
  <si>
    <t>Mobile Equipment Expense - (531103)</t>
  </si>
  <si>
    <t>Motor Fuel Expense - (531107)</t>
  </si>
  <si>
    <t>Water - (531211)</t>
  </si>
  <si>
    <t>Gas - (531221)</t>
  </si>
  <si>
    <t>Electricity - (531231)</t>
  </si>
  <si>
    <t>Small Tools and Shop Supplies - (531601)</t>
  </si>
  <si>
    <t>Digital_Out of Home - (523302)</t>
  </si>
  <si>
    <t>Television &amp; Radio - (523303)</t>
  </si>
  <si>
    <t>Employee Appreciation - (523305)</t>
  </si>
  <si>
    <t>Maps &amp; Pamphlets - (523402)</t>
  </si>
  <si>
    <t>Police Services (DPS) - (521208)</t>
  </si>
  <si>
    <t>Insurance Expense - Other - (523101)</t>
  </si>
  <si>
    <t>Liability Claims - (523902)</t>
  </si>
  <si>
    <t>0</t>
  </si>
  <si>
    <t>Agency</t>
  </si>
  <si>
    <t>RMF</t>
  </si>
  <si>
    <t>CIF</t>
  </si>
  <si>
    <t>Total
Budget</t>
  </si>
  <si>
    <t>FY2024 Totals</t>
  </si>
  <si>
    <t>FY2023 Totals</t>
  </si>
  <si>
    <t>Increase/(Decrease)</t>
  </si>
  <si>
    <t>Rating Agency Fees - (521205)</t>
  </si>
  <si>
    <t>no capital</t>
  </si>
  <si>
    <t>Consulting/Profess Serv Tech - (521301)</t>
  </si>
  <si>
    <t>Electronic Supplies - (531106)</t>
  </si>
  <si>
    <t>Computers - (531641)</t>
  </si>
  <si>
    <t>Infrastructure Rdway/Hwy/Bridg - (541401)</t>
  </si>
  <si>
    <t>Infrastructure - Other - (541403)</t>
  </si>
  <si>
    <t>Rentals - Land - (522301)</t>
  </si>
  <si>
    <t>Machinery - (531611)</t>
  </si>
  <si>
    <t>Vehicles - (531621)</t>
  </si>
  <si>
    <t>Building Improvements - (541302)</t>
  </si>
  <si>
    <t>General Engineering - (521213)</t>
  </si>
  <si>
    <t>Signing Expense - (522203)</t>
  </si>
  <si>
    <t>Pavement Markings - (522204)</t>
  </si>
  <si>
    <t>Pavement &amp; Shoulders - (522205)</t>
  </si>
  <si>
    <t>Bridge Repairs - (522206)</t>
  </si>
  <si>
    <t>Utility Relocation Costs - (531261)</t>
  </si>
  <si>
    <t>Infrastructure Right -of -Way - (541402)</t>
  </si>
  <si>
    <t>Right of Way (ID #365) - (173003)</t>
  </si>
  <si>
    <t>Regional</t>
  </si>
  <si>
    <t>Business Diversity</t>
  </si>
  <si>
    <t/>
  </si>
  <si>
    <t>Procurement</t>
  </si>
  <si>
    <t>FY2025
Budget</t>
  </si>
  <si>
    <t>523306-Media Buy And Advertising</t>
  </si>
  <si>
    <t>523307- Media Production</t>
  </si>
  <si>
    <t xml:space="preserve">Procurement </t>
  </si>
  <si>
    <t>-</t>
  </si>
  <si>
    <t>North Texas Tollway Authority
All Funds Budget by Account
FY2025</t>
  </si>
  <si>
    <t>Right of Way - (173003)</t>
  </si>
  <si>
    <t>0.0%</t>
  </si>
  <si>
    <t>Repairs and Maintenance - (522201)</t>
  </si>
  <si>
    <t>Promotional Expenses  &amp; Events - (523304)</t>
  </si>
  <si>
    <t>Media Buy and Advertising - (523306)</t>
  </si>
  <si>
    <t>Media Production - (523307)</t>
  </si>
  <si>
    <t>Indirect Cost Allocation - (551101)</t>
  </si>
  <si>
    <r>
      <t xml:space="preserve">Increase or </t>
    </r>
    <r>
      <rPr>
        <b/>
        <sz val="10"/>
        <color rgb="FFFF0000"/>
        <rFont val="Microsoft Sans Serif"/>
        <family val="2"/>
      </rPr>
      <t>(Decrease)</t>
    </r>
    <r>
      <rPr>
        <b/>
        <sz val="10"/>
        <rFont val="Microsoft Sans Serif"/>
        <family val="2"/>
      </rPr>
      <t xml:space="preserve"> Amount</t>
    </r>
  </si>
  <si>
    <r>
      <t xml:space="preserve">Increase or </t>
    </r>
    <r>
      <rPr>
        <b/>
        <sz val="10"/>
        <color rgb="FFFF0000"/>
        <rFont val="Microsoft Sans Serif"/>
        <family val="2"/>
      </rPr>
      <t>(Decrease)</t>
    </r>
    <r>
      <rPr>
        <b/>
        <sz val="10"/>
        <rFont val="Microsoft Sans Serif"/>
        <family val="2"/>
      </rPr>
      <t xml:space="preserve"> Percent</t>
    </r>
  </si>
  <si>
    <r>
      <t xml:space="preserve">Increase or
</t>
    </r>
    <r>
      <rPr>
        <b/>
        <sz val="10"/>
        <color rgb="FFFF0000"/>
        <rFont val="Cambria"/>
        <family val="1"/>
      </rPr>
      <t>(Decrease)</t>
    </r>
    <r>
      <rPr>
        <b/>
        <sz val="10"/>
        <rFont val="Cambria"/>
        <family val="1"/>
      </rPr>
      <t xml:space="preserve">
Amount</t>
    </r>
  </si>
  <si>
    <r>
      <t xml:space="preserve">Increase or
</t>
    </r>
    <r>
      <rPr>
        <b/>
        <sz val="10"/>
        <color rgb="FFFF0000"/>
        <rFont val="Cambria"/>
        <family val="1"/>
      </rPr>
      <t>(Decrease)</t>
    </r>
    <r>
      <rPr>
        <b/>
        <sz val="10"/>
        <rFont val="Cambria"/>
        <family val="1"/>
      </rPr>
      <t xml:space="preserve">
Percent</t>
    </r>
  </si>
  <si>
    <t>capital</t>
  </si>
  <si>
    <t>opr</t>
  </si>
  <si>
    <t>Indirect Cost</t>
  </si>
  <si>
    <t>FY2026
Budget</t>
  </si>
  <si>
    <t>FY2025 
Budget</t>
  </si>
  <si>
    <t>Business Development</t>
  </si>
  <si>
    <t>Customer Service</t>
  </si>
  <si>
    <t>Internal Audit/Enterprise Risk Mgmt</t>
  </si>
  <si>
    <t>Business Develop &amp; Opportunities</t>
  </si>
  <si>
    <t>External Affairs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</si>
</sst>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;&quot;-&quot;#,##0"/>
    <numFmt numFmtId="165" formatCode="&quot;Account&quot;"/>
    <numFmt numFmtId="166" formatCode="&quot;$&quot;#,##0;&quot;($&quot;#,##0&quot;)&quot;"/>
    <numFmt numFmtId="167" formatCode="#,##0;&quot;(&quot;#,##0&quot;)&quot;"/>
    <numFmt numFmtId="168" formatCode="0.0%_);[Red]\ \ \(0.0%\)"/>
    <numFmt numFmtId="169" formatCode="&quot;$&quot;#,##0.0"/>
    <numFmt numFmtId="170" formatCode="_(* #,##0_);_(* \(#,##0\);_(* &quot;-&quot;??_);_(@_)"/>
    <numFmt numFmtId="171" formatCode="&quot;$&quot;#,##0"/>
    <numFmt numFmtId="172" formatCode="_(&quot;$&quot;* #,##0_);_(&quot;$&quot;* \(#,##0\);_(&quot;$&quot;* &quot;-&quot;??_);_(@_)"/>
    <numFmt numFmtId="173" formatCode="[$-10409]#,##0;\(#,##0\)"/>
    <numFmt numFmtId="175" formatCode="[$-10409]&quot;$&quot;#,##0;\(&quot;$&quot;#,##0\)"/>
    <numFmt numFmtId="176" formatCode="[$-10409]0.0%;\(0.0\)%;"/>
    <numFmt numFmtId="177" formatCode="&quot;$&quot;#,##0.00"/>
  </numFmts>
  <fonts count="5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mbria"/>
      <family val="1"/>
    </font>
    <font>
      <sz val="10"/>
      <color rgb="FF000000"/>
      <name val="Cambria"/>
      <family val="1"/>
    </font>
    <font>
      <b/>
      <sz val="10"/>
      <name val="Cambria"/>
      <family val="1"/>
    </font>
    <font>
      <b/>
      <sz val="10"/>
      <color rgb="FF000000"/>
      <name val="Cambria"/>
      <family val="1"/>
    </font>
    <font>
      <b/>
      <sz val="10"/>
      <color rgb="FFFF0000"/>
      <name val="Cambria"/>
      <family val="1"/>
    </font>
    <font>
      <sz val="10"/>
      <name val="Cambria"/>
      <family val="1"/>
    </font>
    <font>
      <sz val="10"/>
      <color rgb="FFFF0000"/>
      <name val="Cambria"/>
      <family val="1"/>
    </font>
    <font>
      <sz val="11"/>
      <color theme="1"/>
      <name val="Cambria"/>
      <family val="1"/>
    </font>
    <font>
      <b/>
      <sz val="9"/>
      <color rgb="FF000000"/>
      <name val="Cambria"/>
      <family val="1"/>
    </font>
    <font>
      <b/>
      <sz val="9"/>
      <color rgb="FFFFFFFF"/>
      <name val="Cambria"/>
      <family val="1"/>
    </font>
    <font>
      <sz val="9"/>
      <color rgb="FF000000"/>
      <name val="Cambria"/>
      <family val="1"/>
    </font>
    <font>
      <sz val="9"/>
      <name val="Cambria"/>
      <family val="1"/>
    </font>
    <font>
      <b/>
      <sz val="9"/>
      <name val="Cambria"/>
      <family val="1"/>
    </font>
    <font>
      <b/>
      <sz val="9"/>
      <color rgb="FFFF0000"/>
      <name val="Cambria"/>
      <family val="1"/>
    </font>
    <font>
      <sz val="8"/>
      <color rgb="FF000000"/>
      <name val="Cambria"/>
      <family val="1"/>
    </font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0"/>
      <color rgb="FF000000"/>
      <name val="Arial"/>
      <family val="2"/>
    </font>
    <font>
      <b/>
      <sz val="8"/>
      <color rgb="FF000000"/>
      <name val="Segoe UI"/>
      <family val="2"/>
    </font>
    <font>
      <b/>
      <sz val="8"/>
      <color rgb="FF000000"/>
      <name val="Arial"/>
      <family val="2"/>
    </font>
    <font>
      <b/>
      <sz val="10"/>
      <color rgb="FF000000"/>
      <name val="Microsoft Sans Serif"/>
      <family val="2"/>
    </font>
    <font>
      <b/>
      <sz val="10"/>
      <name val="Microsoft Sans Serif"/>
      <family val="2"/>
    </font>
    <font>
      <sz val="10"/>
      <name val="Microsoft Sans Serif"/>
      <family val="2"/>
    </font>
    <font>
      <sz val="10"/>
      <color rgb="FF000000"/>
      <name val="Microsoft Sans Serif"/>
      <family val="2"/>
    </font>
    <font>
      <sz val="10"/>
      <color rgb="FFFF0000"/>
      <name val="Microsoft Sans Serif"/>
      <family val="2"/>
    </font>
    <font>
      <b/>
      <sz val="10"/>
      <color theme="1"/>
      <name val="Calibri"/>
      <family val="2"/>
      <scheme val="minor"/>
    </font>
    <font>
      <b/>
      <sz val="10"/>
      <color rgb="FFFF0000"/>
      <name val="Microsoft Sans Serif"/>
      <family val="2"/>
    </font>
    <font>
      <sz val="8"/>
      <color rgb="FF000000"/>
      <name val="Segoe UI"/>
      <family val="2"/>
    </font>
    <font>
      <b/>
      <sz val="8"/>
      <color rgb="FF000000"/>
      <name val="Arial"/>
      <family val="2"/>
    </font>
    <font>
      <b/>
      <sz val="8"/>
      <color rgb="FF000000"/>
      <name val="Segoe UI"/>
      <family val="2"/>
    </font>
    <font>
      <b/>
      <sz val="8"/>
      <color rgb="FF000000"/>
      <name val="Arial"/>
      <family val="2"/>
    </font>
    <font>
      <sz val="8"/>
      <color rgb="FF000000"/>
      <name val="Segoe UI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theme="1"/>
      <name val="Microsoft Sans Serif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EEEE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3087"/>
        <bgColor indexed="64"/>
      </patternFill>
    </fill>
    <fill>
      <patternFill patternType="solid">
        <fgColor rgb="FFEE000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rgb="FF003087"/>
      </right>
      <top/>
      <bottom/>
      <diagonal/>
    </border>
    <border>
      <left/>
      <right/>
      <top style="medium">
        <color rgb="FF003087"/>
      </top>
      <bottom/>
      <diagonal/>
    </border>
    <border>
      <left/>
      <right style="medium">
        <color rgb="FF003087"/>
      </right>
      <top style="medium">
        <color rgb="FF003087"/>
      </top>
      <bottom/>
      <diagonal/>
    </border>
    <border>
      <left/>
      <right/>
      <top/>
      <bottom style="medium">
        <color rgb="FF003087"/>
      </bottom>
      <diagonal/>
    </border>
    <border>
      <left/>
      <right style="medium">
        <color rgb="FF003087"/>
      </right>
      <top/>
      <bottom style="medium">
        <color rgb="FF003087"/>
      </bottom>
      <diagonal/>
    </border>
    <border>
      <left style="medium">
        <color rgb="FF003087"/>
      </left>
      <right style="medium">
        <color rgb="FF003087"/>
      </right>
      <top/>
      <bottom/>
      <diagonal/>
    </border>
    <border>
      <left/>
      <right style="medium">
        <color rgb="FF003087"/>
      </right>
      <top/>
      <bottom/>
      <diagonal/>
    </border>
    <border>
      <left style="medium">
        <color rgb="FF003087"/>
      </left>
      <right style="medium">
        <color rgb="FF003087"/>
      </right>
      <top/>
      <bottom style="double">
        <color rgb="FF003087"/>
      </bottom>
      <diagonal/>
    </border>
    <border>
      <left/>
      <right/>
      <top style="medium">
        <color rgb="FF003087"/>
      </top>
      <bottom style="medium">
        <color rgb="FF003087"/>
      </bottom>
      <diagonal/>
    </border>
    <border>
      <left/>
      <right style="medium">
        <color rgb="FF003087"/>
      </right>
      <top style="medium">
        <color rgb="FF003087"/>
      </top>
      <bottom style="medium">
        <color rgb="FF003087"/>
      </bottom>
      <diagonal/>
    </border>
    <border>
      <left/>
      <right/>
      <top style="medium">
        <color rgb="FF003087"/>
      </top>
      <bottom style="double">
        <color rgb="FF003087"/>
      </bottom>
      <diagonal/>
    </border>
    <border>
      <left/>
      <right style="medium">
        <color rgb="FF003087"/>
      </right>
      <top style="medium">
        <color rgb="FF003087"/>
      </top>
      <bottom style="double">
        <color rgb="FF003087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double">
        <color rgb="FF000000"/>
      </top>
      <bottom/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36" fillId="0" borderId="0"/>
  </cellStyleXfs>
  <cellXfs count="223">
    <xf numFmtId="0" fontId="0" fillId="0" borderId="0" xfId="0"/>
    <xf numFmtId="0" fontId="18" fillId="33" borderId="0" xfId="0" applyFont="1" applyFill="1"/>
    <xf numFmtId="0" fontId="20" fillId="0" borderId="0" xfId="0" applyFont="1" applyAlignment="1">
      <alignment wrapText="1"/>
    </xf>
    <xf numFmtId="0" fontId="21" fillId="33" borderId="0" xfId="0" applyFont="1" applyFill="1"/>
    <xf numFmtId="0" fontId="21" fillId="0" borderId="0" xfId="0" applyFont="1"/>
    <xf numFmtId="166" fontId="21" fillId="33" borderId="0" xfId="0" applyNumberFormat="1" applyFont="1" applyFill="1"/>
    <xf numFmtId="170" fontId="21" fillId="33" borderId="0" xfId="43" applyNumberFormat="1" applyFont="1" applyFill="1"/>
    <xf numFmtId="170" fontId="21" fillId="33" borderId="0" xfId="0" applyNumberFormat="1" applyFont="1" applyFill="1"/>
    <xf numFmtId="0" fontId="21" fillId="34" borderId="0" xfId="0" applyFont="1" applyFill="1"/>
    <xf numFmtId="170" fontId="21" fillId="34" borderId="0" xfId="43" applyNumberFormat="1" applyFont="1" applyFill="1"/>
    <xf numFmtId="166" fontId="21" fillId="34" borderId="0" xfId="0" applyNumberFormat="1" applyFont="1" applyFill="1"/>
    <xf numFmtId="0" fontId="22" fillId="34" borderId="0" xfId="0" applyFont="1" applyFill="1" applyAlignment="1">
      <alignment wrapText="1"/>
    </xf>
    <xf numFmtId="0" fontId="21" fillId="36" borderId="0" xfId="0" applyFont="1" applyFill="1"/>
    <xf numFmtId="166" fontId="21" fillId="36" borderId="0" xfId="0" applyNumberFormat="1" applyFont="1" applyFill="1"/>
    <xf numFmtId="170" fontId="21" fillId="36" borderId="0" xfId="43" applyNumberFormat="1" applyFont="1" applyFill="1"/>
    <xf numFmtId="166" fontId="21" fillId="0" borderId="0" xfId="0" applyNumberFormat="1" applyFont="1"/>
    <xf numFmtId="168" fontId="23" fillId="36" borderId="0" xfId="42" applyNumberFormat="1" applyFont="1" applyFill="1" applyBorder="1" applyAlignment="1">
      <alignment horizontal="right" vertical="center"/>
    </xf>
    <xf numFmtId="168" fontId="23" fillId="36" borderId="11" xfId="42" applyNumberFormat="1" applyFont="1" applyFill="1" applyBorder="1" applyAlignment="1">
      <alignment horizontal="right" vertical="center"/>
    </xf>
    <xf numFmtId="6" fontId="23" fillId="36" borderId="11" xfId="0" applyNumberFormat="1" applyFont="1" applyFill="1" applyBorder="1" applyAlignment="1">
      <alignment horizontal="right" vertical="center"/>
    </xf>
    <xf numFmtId="166" fontId="24" fillId="36" borderId="11" xfId="0" applyNumberFormat="1" applyFont="1" applyFill="1" applyBorder="1" applyAlignment="1">
      <alignment horizontal="right" vertical="center"/>
    </xf>
    <xf numFmtId="166" fontId="24" fillId="0" borderId="11" xfId="0" applyNumberFormat="1" applyFont="1" applyBorder="1" applyAlignment="1">
      <alignment horizontal="right" vertical="center"/>
    </xf>
    <xf numFmtId="166" fontId="25" fillId="0" borderId="11" xfId="0" applyNumberFormat="1" applyFont="1" applyBorder="1" applyAlignment="1">
      <alignment horizontal="right" vertical="center"/>
    </xf>
    <xf numFmtId="166" fontId="24" fillId="0" borderId="11" xfId="0" quotePrefix="1" applyNumberFormat="1" applyFont="1" applyBorder="1" applyAlignment="1">
      <alignment horizontal="left" vertical="center"/>
    </xf>
    <xf numFmtId="168" fontId="22" fillId="36" borderId="0" xfId="0" applyNumberFormat="1" applyFont="1" applyFill="1" applyAlignment="1">
      <alignment horizontal="right"/>
    </xf>
    <xf numFmtId="164" fontId="24" fillId="36" borderId="0" xfId="0" applyNumberFormat="1" applyFont="1" applyFill="1" applyAlignment="1">
      <alignment horizontal="right" vertical="center"/>
    </xf>
    <xf numFmtId="164" fontId="24" fillId="34" borderId="0" xfId="0" applyNumberFormat="1" applyFont="1" applyFill="1" applyAlignment="1">
      <alignment horizontal="left" vertical="center"/>
    </xf>
    <xf numFmtId="38" fontId="21" fillId="36" borderId="0" xfId="43" applyNumberFormat="1" applyFont="1" applyFill="1" applyAlignment="1">
      <alignment horizontal="right"/>
    </xf>
    <xf numFmtId="167" fontId="22" fillId="36" borderId="0" xfId="0" applyNumberFormat="1" applyFont="1" applyFill="1" applyAlignment="1">
      <alignment horizontal="right"/>
    </xf>
    <xf numFmtId="167" fontId="22" fillId="0" borderId="0" xfId="0" applyNumberFormat="1" applyFont="1" applyAlignment="1">
      <alignment horizontal="right"/>
    </xf>
    <xf numFmtId="164" fontId="22" fillId="34" borderId="0" xfId="0" quotePrefix="1" applyNumberFormat="1" applyFont="1" applyFill="1" applyAlignment="1">
      <alignment horizontal="left"/>
    </xf>
    <xf numFmtId="0" fontId="21" fillId="33" borderId="0" xfId="0" applyFont="1" applyFill="1" applyAlignment="1">
      <alignment horizontal="left"/>
    </xf>
    <xf numFmtId="10" fontId="21" fillId="33" borderId="0" xfId="0" applyNumberFormat="1" applyFont="1" applyFill="1"/>
    <xf numFmtId="171" fontId="21" fillId="37" borderId="0" xfId="0" applyNumberFormat="1" applyFont="1" applyFill="1"/>
    <xf numFmtId="166" fontId="21" fillId="38" borderId="0" xfId="0" applyNumberFormat="1" applyFont="1" applyFill="1"/>
    <xf numFmtId="166" fontId="22" fillId="36" borderId="0" xfId="0" applyNumberFormat="1" applyFont="1" applyFill="1" applyAlignment="1">
      <alignment horizontal="right"/>
    </xf>
    <xf numFmtId="166" fontId="26" fillId="0" borderId="0" xfId="0" applyNumberFormat="1" applyFont="1" applyAlignment="1">
      <alignment horizontal="right"/>
    </xf>
    <xf numFmtId="166" fontId="22" fillId="0" borderId="0" xfId="0" applyNumberFormat="1" applyFont="1" applyAlignment="1">
      <alignment horizontal="right"/>
    </xf>
    <xf numFmtId="166" fontId="27" fillId="36" borderId="0" xfId="0" applyNumberFormat="1" applyFont="1" applyFill="1" applyAlignment="1">
      <alignment horizontal="right"/>
    </xf>
    <xf numFmtId="0" fontId="26" fillId="0" borderId="0" xfId="0" applyFont="1" applyAlignment="1">
      <alignment wrapText="1"/>
    </xf>
    <xf numFmtId="164" fontId="23" fillId="36" borderId="0" xfId="0" quotePrefix="1" applyNumberFormat="1" applyFont="1" applyFill="1" applyAlignment="1">
      <alignment horizontal="center" wrapText="1"/>
    </xf>
    <xf numFmtId="164" fontId="23" fillId="36" borderId="12" xfId="0" quotePrefix="1" applyNumberFormat="1" applyFont="1" applyFill="1" applyBorder="1" applyAlignment="1">
      <alignment horizontal="center" wrapText="1"/>
    </xf>
    <xf numFmtId="164" fontId="23" fillId="0" borderId="12" xfId="0" quotePrefix="1" applyNumberFormat="1" applyFont="1" applyBorder="1" applyAlignment="1">
      <alignment horizontal="center" wrapText="1"/>
    </xf>
    <xf numFmtId="164" fontId="24" fillId="34" borderId="12" xfId="0" applyNumberFormat="1" applyFont="1" applyFill="1" applyBorder="1" applyAlignment="1">
      <alignment horizontal="left"/>
    </xf>
    <xf numFmtId="170" fontId="21" fillId="34" borderId="0" xfId="43" applyNumberFormat="1" applyFont="1" applyFill="1" applyAlignment="1"/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center"/>
    </xf>
    <xf numFmtId="170" fontId="21" fillId="34" borderId="0" xfId="0" applyNumberFormat="1" applyFont="1" applyFill="1"/>
    <xf numFmtId="0" fontId="21" fillId="34" borderId="0" xfId="0" applyFont="1" applyFill="1" applyAlignment="1">
      <alignment wrapText="1"/>
    </xf>
    <xf numFmtId="0" fontId="24" fillId="34" borderId="0" xfId="0" applyFont="1" applyFill="1" applyAlignment="1">
      <alignment vertical="top" wrapText="1"/>
    </xf>
    <xf numFmtId="0" fontId="28" fillId="33" borderId="0" xfId="0" applyFont="1" applyFill="1"/>
    <xf numFmtId="0" fontId="28" fillId="33" borderId="13" xfId="0" applyFont="1" applyFill="1" applyBorder="1"/>
    <xf numFmtId="0" fontId="30" fillId="39" borderId="14" xfId="0" applyFont="1" applyFill="1" applyBorder="1" applyAlignment="1">
      <alignment vertical="center" wrapText="1"/>
    </xf>
    <xf numFmtId="0" fontId="30" fillId="39" borderId="14" xfId="0" applyFont="1" applyFill="1" applyBorder="1" applyAlignment="1">
      <alignment horizontal="right" vertical="center" wrapText="1"/>
    </xf>
    <xf numFmtId="0" fontId="30" fillId="39" borderId="15" xfId="0" applyFont="1" applyFill="1" applyBorder="1" applyAlignment="1">
      <alignment horizontal="right" vertical="center" wrapText="1"/>
    </xf>
    <xf numFmtId="0" fontId="30" fillId="39" borderId="16" xfId="0" applyFont="1" applyFill="1" applyBorder="1" applyAlignment="1">
      <alignment vertical="center" wrapText="1"/>
    </xf>
    <xf numFmtId="0" fontId="30" fillId="39" borderId="16" xfId="0" applyFont="1" applyFill="1" applyBorder="1" applyAlignment="1">
      <alignment horizontal="right" vertical="center" wrapText="1"/>
    </xf>
    <xf numFmtId="0" fontId="30" fillId="39" borderId="17" xfId="0" applyFont="1" applyFill="1" applyBorder="1" applyAlignment="1">
      <alignment horizontal="right" vertical="center" wrapText="1"/>
    </xf>
    <xf numFmtId="171" fontId="32" fillId="0" borderId="18" xfId="43" applyNumberFormat="1" applyFont="1" applyBorder="1" applyAlignment="1">
      <alignment horizontal="right" vertical="center"/>
    </xf>
    <xf numFmtId="0" fontId="31" fillId="0" borderId="0" xfId="0" applyFont="1" applyAlignment="1">
      <alignment vertical="center"/>
    </xf>
    <xf numFmtId="37" fontId="32" fillId="0" borderId="18" xfId="43" applyNumberFormat="1" applyFont="1" applyBorder="1" applyAlignment="1">
      <alignment horizontal="right" vertical="center"/>
    </xf>
    <xf numFmtId="37" fontId="32" fillId="0" borderId="20" xfId="43" applyNumberFormat="1" applyFont="1" applyBorder="1" applyAlignment="1">
      <alignment horizontal="right" vertical="center"/>
    </xf>
    <xf numFmtId="170" fontId="28" fillId="33" borderId="0" xfId="43" applyNumberFormat="1" applyFont="1" applyFill="1"/>
    <xf numFmtId="166" fontId="28" fillId="33" borderId="0" xfId="0" applyNumberFormat="1" applyFont="1" applyFill="1"/>
    <xf numFmtId="170" fontId="28" fillId="33" borderId="0" xfId="0" applyNumberFormat="1" applyFont="1" applyFill="1"/>
    <xf numFmtId="0" fontId="28" fillId="0" borderId="0" xfId="0" applyFont="1"/>
    <xf numFmtId="0" fontId="30" fillId="39" borderId="21" xfId="0" applyFont="1" applyFill="1" applyBorder="1" applyAlignment="1">
      <alignment wrapText="1"/>
    </xf>
    <xf numFmtId="0" fontId="30" fillId="39" borderId="21" xfId="0" applyFont="1" applyFill="1" applyBorder="1" applyAlignment="1">
      <alignment horizontal="right" vertical="center" wrapText="1"/>
    </xf>
    <xf numFmtId="0" fontId="30" fillId="39" borderId="22" xfId="0" applyFont="1" applyFill="1" applyBorder="1" applyAlignment="1">
      <alignment horizontal="right" vertical="center" wrapText="1"/>
    </xf>
    <xf numFmtId="0" fontId="31" fillId="0" borderId="0" xfId="0" applyFont="1" applyAlignment="1">
      <alignment vertical="center" wrapText="1"/>
    </xf>
    <xf numFmtId="6" fontId="31" fillId="0" borderId="0" xfId="0" applyNumberFormat="1" applyFont="1" applyAlignment="1">
      <alignment horizontal="right" vertical="center" wrapText="1"/>
    </xf>
    <xf numFmtId="6" fontId="31" fillId="0" borderId="19" xfId="0" applyNumberFormat="1" applyFont="1" applyBorder="1" applyAlignment="1">
      <alignment horizontal="right" vertical="center" wrapText="1"/>
    </xf>
    <xf numFmtId="3" fontId="31" fillId="0" borderId="0" xfId="0" applyNumberFormat="1" applyFont="1" applyAlignment="1">
      <alignment horizontal="right" vertical="center" wrapText="1"/>
    </xf>
    <xf numFmtId="3" fontId="31" fillId="0" borderId="19" xfId="0" applyNumberFormat="1" applyFont="1" applyBorder="1" applyAlignment="1">
      <alignment horizontal="right" vertical="center" wrapText="1"/>
    </xf>
    <xf numFmtId="0" fontId="31" fillId="0" borderId="16" xfId="0" applyFont="1" applyBorder="1" applyAlignment="1">
      <alignment vertical="center" wrapText="1"/>
    </xf>
    <xf numFmtId="3" fontId="31" fillId="0" borderId="16" xfId="0" applyNumberFormat="1" applyFont="1" applyBorder="1" applyAlignment="1">
      <alignment horizontal="right" vertical="center" wrapText="1"/>
    </xf>
    <xf numFmtId="3" fontId="31" fillId="0" borderId="17" xfId="0" applyNumberFormat="1" applyFont="1" applyBorder="1" applyAlignment="1">
      <alignment horizontal="right" vertical="center" wrapText="1"/>
    </xf>
    <xf numFmtId="0" fontId="29" fillId="0" borderId="21" xfId="0" applyFont="1" applyBorder="1" applyAlignment="1">
      <alignment vertical="center" wrapText="1"/>
    </xf>
    <xf numFmtId="166" fontId="29" fillId="0" borderId="21" xfId="0" applyNumberFormat="1" applyFont="1" applyBorder="1" applyAlignment="1">
      <alignment horizontal="right" vertical="center" wrapText="1"/>
    </xf>
    <xf numFmtId="166" fontId="29" fillId="0" borderId="22" xfId="0" applyNumberFormat="1" applyFont="1" applyBorder="1" applyAlignment="1">
      <alignment horizontal="right" vertical="center" wrapText="1"/>
    </xf>
    <xf numFmtId="166" fontId="29" fillId="0" borderId="23" xfId="0" applyNumberFormat="1" applyFont="1" applyBorder="1" applyAlignment="1">
      <alignment horizontal="left" vertical="center" wrapText="1"/>
    </xf>
    <xf numFmtId="166" fontId="29" fillId="0" borderId="23" xfId="0" applyNumberFormat="1" applyFont="1" applyBorder="1" applyAlignment="1">
      <alignment horizontal="right" vertical="center" wrapText="1"/>
    </xf>
    <xf numFmtId="166" fontId="29" fillId="0" borderId="24" xfId="0" applyNumberFormat="1" applyFont="1" applyBorder="1" applyAlignment="1">
      <alignment horizontal="right" vertical="center" wrapText="1"/>
    </xf>
    <xf numFmtId="0" fontId="29" fillId="0" borderId="16" xfId="0" applyFont="1" applyBorder="1" applyAlignment="1">
      <alignment vertical="center" wrapText="1"/>
    </xf>
    <xf numFmtId="6" fontId="33" fillId="0" borderId="16" xfId="43" applyNumberFormat="1" applyFont="1" applyBorder="1" applyAlignment="1">
      <alignment horizontal="right" vertical="center" wrapText="1"/>
    </xf>
    <xf numFmtId="6" fontId="33" fillId="0" borderId="17" xfId="43" applyNumberFormat="1" applyFont="1" applyBorder="1" applyAlignment="1">
      <alignment horizontal="right" vertical="center" wrapText="1"/>
    </xf>
    <xf numFmtId="9" fontId="28" fillId="33" borderId="0" xfId="42" applyFont="1" applyFill="1"/>
    <xf numFmtId="0" fontId="29" fillId="34" borderId="0" xfId="0" applyFont="1" applyFill="1" applyAlignment="1">
      <alignment horizontal="center" vertical="top" wrapText="1"/>
    </xf>
    <xf numFmtId="0" fontId="31" fillId="0" borderId="14" xfId="0" applyFont="1" applyBorder="1" applyAlignment="1">
      <alignment vertical="center" wrapText="1"/>
    </xf>
    <xf numFmtId="166" fontId="31" fillId="0" borderId="0" xfId="0" applyNumberFormat="1" applyFont="1" applyAlignment="1">
      <alignment horizontal="right"/>
    </xf>
    <xf numFmtId="6" fontId="31" fillId="0" borderId="14" xfId="0" applyNumberFormat="1" applyFont="1" applyBorder="1" applyAlignment="1">
      <alignment horizontal="right" vertical="center" wrapText="1"/>
    </xf>
    <xf numFmtId="6" fontId="31" fillId="0" borderId="15" xfId="0" applyNumberFormat="1" applyFont="1" applyBorder="1" applyAlignment="1">
      <alignment horizontal="right" vertical="center" wrapText="1"/>
    </xf>
    <xf numFmtId="0" fontId="29" fillId="0" borderId="23" xfId="0" applyFont="1" applyBorder="1" applyAlignment="1">
      <alignment vertical="center" wrapText="1"/>
    </xf>
    <xf numFmtId="165" fontId="30" fillId="39" borderId="21" xfId="0" quotePrefix="1" applyNumberFormat="1" applyFont="1" applyFill="1" applyBorder="1" applyAlignment="1">
      <alignment horizontal="left"/>
    </xf>
    <xf numFmtId="164" fontId="30" fillId="39" borderId="22" xfId="0" quotePrefix="1" applyNumberFormat="1" applyFont="1" applyFill="1" applyBorder="1" applyAlignment="1">
      <alignment horizontal="right" wrapText="1"/>
    </xf>
    <xf numFmtId="164" fontId="31" fillId="34" borderId="14" xfId="0" quotePrefix="1" applyNumberFormat="1" applyFont="1" applyFill="1" applyBorder="1" applyAlignment="1">
      <alignment horizontal="left"/>
    </xf>
    <xf numFmtId="164" fontId="31" fillId="34" borderId="0" xfId="0" quotePrefix="1" applyNumberFormat="1" applyFont="1" applyFill="1" applyAlignment="1">
      <alignment horizontal="left"/>
    </xf>
    <xf numFmtId="167" fontId="31" fillId="0" borderId="0" xfId="0" applyNumberFormat="1" applyFont="1" applyAlignment="1">
      <alignment horizontal="right"/>
    </xf>
    <xf numFmtId="167" fontId="31" fillId="34" borderId="19" xfId="0" applyNumberFormat="1" applyFont="1" applyFill="1" applyBorder="1" applyAlignment="1">
      <alignment horizontal="right"/>
    </xf>
    <xf numFmtId="6" fontId="33" fillId="0" borderId="16" xfId="43" applyNumberFormat="1" applyFont="1" applyFill="1" applyBorder="1" applyAlignment="1">
      <alignment horizontal="right" vertical="center" wrapText="1"/>
    </xf>
    <xf numFmtId="43" fontId="28" fillId="33" borderId="0" xfId="0" applyNumberFormat="1" applyFont="1" applyFill="1"/>
    <xf numFmtId="166" fontId="35" fillId="34" borderId="25" xfId="0" applyNumberFormat="1" applyFont="1" applyFill="1" applyBorder="1" applyAlignment="1">
      <alignment horizontal="right"/>
    </xf>
    <xf numFmtId="167" fontId="31" fillId="34" borderId="25" xfId="0" applyNumberFormat="1" applyFont="1" applyFill="1" applyBorder="1" applyAlignment="1">
      <alignment horizontal="right"/>
    </xf>
    <xf numFmtId="167" fontId="32" fillId="34" borderId="19" xfId="0" applyNumberFormat="1" applyFont="1" applyFill="1" applyBorder="1" applyAlignment="1">
      <alignment horizontal="right"/>
    </xf>
    <xf numFmtId="38" fontId="31" fillId="0" borderId="0" xfId="0" applyNumberFormat="1" applyFont="1" applyAlignment="1">
      <alignment horizontal="right"/>
    </xf>
    <xf numFmtId="38" fontId="31" fillId="0" borderId="19" xfId="0" applyNumberFormat="1" applyFont="1" applyBorder="1" applyAlignment="1">
      <alignment horizontal="right" vertical="center" wrapText="1"/>
    </xf>
    <xf numFmtId="166" fontId="34" fillId="0" borderId="22" xfId="0" applyNumberFormat="1" applyFont="1" applyBorder="1" applyAlignment="1">
      <alignment horizontal="right" vertical="center" wrapText="1"/>
    </xf>
    <xf numFmtId="166" fontId="34" fillId="0" borderId="23" xfId="0" applyNumberFormat="1" applyFont="1" applyBorder="1" applyAlignment="1">
      <alignment horizontal="right" vertical="center" wrapText="1"/>
    </xf>
    <xf numFmtId="166" fontId="34" fillId="0" borderId="24" xfId="0" applyNumberFormat="1" applyFont="1" applyBorder="1" applyAlignment="1">
      <alignment horizontal="right" vertical="center" wrapText="1"/>
    </xf>
    <xf numFmtId="0" fontId="28" fillId="33" borderId="0" xfId="0" quotePrefix="1" applyFont="1" applyFill="1"/>
    <xf numFmtId="43" fontId="28" fillId="33" borderId="0" xfId="43" applyFont="1" applyFill="1"/>
    <xf numFmtId="0" fontId="28" fillId="33" borderId="0" xfId="0" applyFont="1" applyFill="1" applyAlignment="1">
      <alignment horizontal="right"/>
    </xf>
    <xf numFmtId="0" fontId="28" fillId="33" borderId="0" xfId="0" applyFont="1" applyFill="1" applyAlignment="1">
      <alignment wrapText="1"/>
    </xf>
    <xf numFmtId="172" fontId="22" fillId="0" borderId="0" xfId="44" applyNumberFormat="1" applyFont="1" applyAlignment="1">
      <alignment horizontal="right"/>
    </xf>
    <xf numFmtId="172" fontId="26" fillId="0" borderId="0" xfId="44" applyNumberFormat="1" applyFont="1" applyAlignment="1">
      <alignment horizontal="right"/>
    </xf>
    <xf numFmtId="0" fontId="37" fillId="0" borderId="0" xfId="48" applyFont="1"/>
    <xf numFmtId="171" fontId="21" fillId="0" borderId="0" xfId="0" applyNumberFormat="1" applyFont="1"/>
    <xf numFmtId="10" fontId="21" fillId="0" borderId="0" xfId="0" applyNumberFormat="1" applyFont="1"/>
    <xf numFmtId="175" fontId="37" fillId="0" borderId="0" xfId="48" applyNumberFormat="1" applyFont="1"/>
    <xf numFmtId="170" fontId="22" fillId="0" borderId="0" xfId="43" applyNumberFormat="1" applyFont="1" applyAlignment="1">
      <alignment horizontal="right"/>
    </xf>
    <xf numFmtId="170" fontId="26" fillId="0" borderId="0" xfId="43" applyNumberFormat="1" applyFont="1" applyAlignment="1">
      <alignment horizontal="right"/>
    </xf>
    <xf numFmtId="170" fontId="24" fillId="36" borderId="0" xfId="43" applyNumberFormat="1" applyFont="1" applyFill="1" applyAlignment="1">
      <alignment horizontal="right" vertical="center"/>
    </xf>
    <xf numFmtId="170" fontId="22" fillId="36" borderId="0" xfId="43" applyNumberFormat="1" applyFont="1" applyFill="1" applyAlignment="1">
      <alignment horizontal="right" vertical="center"/>
    </xf>
    <xf numFmtId="0" fontId="38" fillId="0" borderId="0" xfId="48" applyFont="1" applyAlignment="1">
      <alignment horizontal="center" vertical="top" wrapText="1" readingOrder="1"/>
    </xf>
    <xf numFmtId="0" fontId="40" fillId="0" borderId="28" xfId="48" applyFont="1" applyBorder="1" applyAlignment="1">
      <alignment vertical="top" wrapText="1" readingOrder="1"/>
    </xf>
    <xf numFmtId="0" fontId="39" fillId="0" borderId="28" xfId="48" applyFont="1" applyBorder="1" applyAlignment="1">
      <alignment horizontal="right" vertical="top" wrapText="1" readingOrder="1"/>
    </xf>
    <xf numFmtId="0" fontId="40" fillId="0" borderId="28" xfId="48" applyFont="1" applyBorder="1" applyAlignment="1">
      <alignment horizontal="right" vertical="top" wrapText="1" readingOrder="1"/>
    </xf>
    <xf numFmtId="175" fontId="40" fillId="0" borderId="28" xfId="48" applyNumberFormat="1" applyFont="1" applyBorder="1" applyAlignment="1">
      <alignment horizontal="right" vertical="top" wrapText="1" readingOrder="1"/>
    </xf>
    <xf numFmtId="172" fontId="24" fillId="0" borderId="11" xfId="44" applyNumberFormat="1" applyFont="1" applyBorder="1" applyAlignment="1">
      <alignment horizontal="right" vertical="center"/>
    </xf>
    <xf numFmtId="0" fontId="41" fillId="34" borderId="0" xfId="0" applyFont="1" applyFill="1" applyAlignment="1">
      <alignment vertical="top" wrapText="1"/>
    </xf>
    <xf numFmtId="0" fontId="18" fillId="0" borderId="0" xfId="0" applyFont="1"/>
    <xf numFmtId="0" fontId="18" fillId="36" borderId="0" xfId="0" applyFont="1" applyFill="1"/>
    <xf numFmtId="0" fontId="18" fillId="34" borderId="0" xfId="0" applyFont="1" applyFill="1" applyAlignment="1">
      <alignment wrapText="1"/>
    </xf>
    <xf numFmtId="0" fontId="18" fillId="34" borderId="0" xfId="0" applyFont="1" applyFill="1" applyAlignment="1">
      <alignment horizontal="center" wrapText="1"/>
    </xf>
    <xf numFmtId="169" fontId="18" fillId="34" borderId="0" xfId="0" applyNumberFormat="1" applyFont="1" applyFill="1" applyAlignment="1">
      <alignment wrapText="1"/>
    </xf>
    <xf numFmtId="0" fontId="20" fillId="0" borderId="0" xfId="0" applyFont="1"/>
    <xf numFmtId="165" fontId="42" fillId="0" borderId="0" xfId="0" quotePrefix="1" applyNumberFormat="1" applyFont="1" applyAlignment="1">
      <alignment horizontal="left"/>
    </xf>
    <xf numFmtId="164" fontId="42" fillId="0" borderId="0" xfId="0" quotePrefix="1" applyNumberFormat="1" applyFont="1" applyAlignment="1">
      <alignment horizontal="right" wrapText="1"/>
    </xf>
    <xf numFmtId="164" fontId="42" fillId="0" borderId="0" xfId="0" quotePrefix="1" applyNumberFormat="1" applyFont="1" applyAlignment="1">
      <alignment horizontal="right" vertical="top" wrapText="1"/>
    </xf>
    <xf numFmtId="0" fontId="20" fillId="36" borderId="0" xfId="0" applyFont="1" applyFill="1"/>
    <xf numFmtId="164" fontId="43" fillId="34" borderId="10" xfId="0" applyNumberFormat="1" applyFont="1" applyFill="1" applyBorder="1" applyAlignment="1">
      <alignment horizontal="left"/>
    </xf>
    <xf numFmtId="167" fontId="43" fillId="34" borderId="10" xfId="0" applyNumberFormat="1" applyFont="1" applyFill="1" applyBorder="1" applyAlignment="1">
      <alignment horizontal="right"/>
    </xf>
    <xf numFmtId="167" fontId="44" fillId="34" borderId="10" xfId="0" applyNumberFormat="1" applyFont="1" applyFill="1" applyBorder="1" applyAlignment="1">
      <alignment horizontal="right"/>
    </xf>
    <xf numFmtId="0" fontId="18" fillId="33" borderId="0" xfId="0" applyFont="1" applyFill="1" applyAlignment="1">
      <alignment horizontal="left"/>
    </xf>
    <xf numFmtId="164" fontId="43" fillId="34" borderId="0" xfId="0" quotePrefix="1" applyNumberFormat="1" applyFont="1" applyFill="1" applyAlignment="1">
      <alignment horizontal="left"/>
    </xf>
    <xf numFmtId="172" fontId="43" fillId="34" borderId="0" xfId="44" applyNumberFormat="1" applyFont="1" applyFill="1" applyAlignment="1">
      <alignment horizontal="right"/>
    </xf>
    <xf numFmtId="172" fontId="45" fillId="34" borderId="0" xfId="44" applyNumberFormat="1" applyFont="1" applyFill="1" applyAlignment="1">
      <alignment horizontal="right"/>
    </xf>
    <xf numFmtId="172" fontId="44" fillId="34" borderId="0" xfId="44" applyNumberFormat="1" applyFont="1" applyFill="1" applyAlignment="1">
      <alignment horizontal="right"/>
    </xf>
    <xf numFmtId="168" fontId="44" fillId="34" borderId="0" xfId="42" applyNumberFormat="1" applyFont="1" applyFill="1" applyAlignment="1">
      <alignment horizontal="right"/>
    </xf>
    <xf numFmtId="43" fontId="43" fillId="34" borderId="0" xfId="43" applyFont="1" applyFill="1" applyAlignment="1">
      <alignment horizontal="right"/>
    </xf>
    <xf numFmtId="170" fontId="43" fillId="34" borderId="0" xfId="43" applyNumberFormat="1" applyFont="1" applyFill="1" applyAlignment="1">
      <alignment horizontal="right"/>
    </xf>
    <xf numFmtId="170" fontId="44" fillId="34" borderId="0" xfId="43" applyNumberFormat="1" applyFont="1" applyFill="1" applyAlignment="1">
      <alignment horizontal="right"/>
    </xf>
    <xf numFmtId="38" fontId="44" fillId="34" borderId="0" xfId="44" applyNumberFormat="1" applyFont="1" applyFill="1" applyAlignment="1">
      <alignment horizontal="right"/>
    </xf>
    <xf numFmtId="170" fontId="44" fillId="34" borderId="0" xfId="43" applyNumberFormat="1" applyFont="1" applyFill="1" applyAlignment="1">
      <alignment horizontal="right" indent="2"/>
    </xf>
    <xf numFmtId="43" fontId="44" fillId="34" borderId="0" xfId="43" applyFont="1" applyFill="1" applyAlignment="1">
      <alignment horizontal="right"/>
    </xf>
    <xf numFmtId="0" fontId="46" fillId="35" borderId="0" xfId="0" applyFont="1" applyFill="1" applyAlignment="1">
      <alignment horizontal="left"/>
    </xf>
    <xf numFmtId="164" fontId="42" fillId="35" borderId="0" xfId="0" quotePrefix="1" applyNumberFormat="1" applyFont="1" applyFill="1" applyAlignment="1">
      <alignment horizontal="left"/>
    </xf>
    <xf numFmtId="172" fontId="42" fillId="35" borderId="0" xfId="44" applyNumberFormat="1" applyFont="1" applyFill="1" applyAlignment="1">
      <alignment horizontal="right"/>
    </xf>
    <xf numFmtId="42" fontId="42" fillId="35" borderId="0" xfId="44" applyNumberFormat="1" applyFont="1" applyFill="1" applyAlignment="1">
      <alignment horizontal="right"/>
    </xf>
    <xf numFmtId="168" fontId="42" fillId="35" borderId="0" xfId="42" applyNumberFormat="1" applyFont="1" applyFill="1" applyAlignment="1">
      <alignment horizontal="right"/>
    </xf>
    <xf numFmtId="0" fontId="46" fillId="36" borderId="0" xfId="0" applyFont="1" applyFill="1"/>
    <xf numFmtId="0" fontId="46" fillId="35" borderId="0" xfId="0" applyFont="1" applyFill="1"/>
    <xf numFmtId="0" fontId="18" fillId="35" borderId="0" xfId="0" applyFont="1" applyFill="1" applyAlignment="1">
      <alignment horizontal="left"/>
    </xf>
    <xf numFmtId="0" fontId="18" fillId="35" borderId="0" xfId="0" applyFont="1" applyFill="1"/>
    <xf numFmtId="164" fontId="43" fillId="36" borderId="0" xfId="0" quotePrefix="1" applyNumberFormat="1" applyFont="1" applyFill="1" applyAlignment="1">
      <alignment horizontal="left"/>
    </xf>
    <xf numFmtId="170" fontId="43" fillId="34" borderId="0" xfId="44" applyNumberFormat="1" applyFont="1" applyFill="1" applyAlignment="1">
      <alignment horizontal="right"/>
    </xf>
    <xf numFmtId="172" fontId="47" fillId="35" borderId="0" xfId="44" applyNumberFormat="1" applyFont="1" applyFill="1" applyAlignment="1">
      <alignment horizontal="right"/>
    </xf>
    <xf numFmtId="164" fontId="42" fillId="34" borderId="0" xfId="0" applyNumberFormat="1" applyFont="1" applyFill="1" applyAlignment="1">
      <alignment horizontal="left" vertical="center"/>
    </xf>
    <xf numFmtId="164" fontId="42" fillId="34" borderId="0" xfId="0" applyNumberFormat="1" applyFont="1" applyFill="1" applyAlignment="1">
      <alignment horizontal="right" vertical="center"/>
    </xf>
    <xf numFmtId="164" fontId="41" fillId="34" borderId="0" xfId="0" applyNumberFormat="1" applyFont="1" applyFill="1" applyAlignment="1">
      <alignment horizontal="right" vertical="center"/>
    </xf>
    <xf numFmtId="38" fontId="41" fillId="34" borderId="0" xfId="0" applyNumberFormat="1" applyFont="1" applyFill="1" applyAlignment="1">
      <alignment horizontal="right" vertical="center"/>
    </xf>
    <xf numFmtId="168" fontId="41" fillId="34" borderId="0" xfId="42" applyNumberFormat="1" applyFont="1" applyFill="1" applyAlignment="1">
      <alignment horizontal="right" vertical="center"/>
    </xf>
    <xf numFmtId="38" fontId="42" fillId="35" borderId="0" xfId="0" applyNumberFormat="1" applyFont="1" applyFill="1" applyAlignment="1">
      <alignment horizontal="right"/>
    </xf>
    <xf numFmtId="167" fontId="47" fillId="35" borderId="0" xfId="0" applyNumberFormat="1" applyFont="1" applyFill="1" applyAlignment="1">
      <alignment horizontal="right"/>
    </xf>
    <xf numFmtId="172" fontId="42" fillId="0" borderId="11" xfId="44" applyNumberFormat="1" applyFont="1" applyFill="1" applyBorder="1" applyAlignment="1">
      <alignment horizontal="right" vertical="center"/>
    </xf>
    <xf numFmtId="0" fontId="18" fillId="0" borderId="0" xfId="0" applyFont="1" applyAlignment="1">
      <alignment wrapText="1"/>
    </xf>
    <xf numFmtId="166" fontId="18" fillId="0" borderId="0" xfId="0" applyNumberFormat="1" applyFont="1" applyAlignment="1">
      <alignment wrapText="1"/>
    </xf>
    <xf numFmtId="166" fontId="18" fillId="34" borderId="0" xfId="0" applyNumberFormat="1" applyFont="1" applyFill="1" applyAlignment="1">
      <alignment wrapText="1"/>
    </xf>
    <xf numFmtId="166" fontId="18" fillId="0" borderId="0" xfId="0" applyNumberFormat="1" applyFont="1"/>
    <xf numFmtId="44" fontId="18" fillId="33" borderId="0" xfId="0" applyNumberFormat="1" applyFont="1" applyFill="1"/>
    <xf numFmtId="166" fontId="18" fillId="33" borderId="0" xfId="0" applyNumberFormat="1" applyFont="1" applyFill="1"/>
    <xf numFmtId="6" fontId="18" fillId="33" borderId="0" xfId="0" applyNumberFormat="1" applyFont="1" applyFill="1"/>
    <xf numFmtId="170" fontId="45" fillId="34" borderId="0" xfId="43" applyNumberFormat="1" applyFont="1" applyFill="1" applyAlignment="1">
      <alignment horizontal="right"/>
    </xf>
    <xf numFmtId="166" fontId="42" fillId="0" borderId="11" xfId="0" quotePrefix="1" applyNumberFormat="1" applyFont="1" applyBorder="1" applyAlignment="1">
      <alignment horizontal="left" vertical="center"/>
    </xf>
    <xf numFmtId="168" fontId="42" fillId="0" borderId="11" xfId="42" applyNumberFormat="1" applyFont="1" applyFill="1" applyBorder="1" applyAlignment="1">
      <alignment horizontal="right" vertical="center"/>
    </xf>
    <xf numFmtId="170" fontId="22" fillId="0" borderId="0" xfId="43" applyNumberFormat="1" applyFont="1" applyFill="1" applyAlignment="1">
      <alignment horizontal="right"/>
    </xf>
    <xf numFmtId="170" fontId="26" fillId="0" borderId="0" xfId="43" applyNumberFormat="1" applyFont="1" applyFill="1" applyAlignment="1">
      <alignment horizontal="right"/>
    </xf>
    <xf numFmtId="170" fontId="24" fillId="0" borderId="0" xfId="43" applyNumberFormat="1" applyFont="1" applyFill="1" applyAlignment="1">
      <alignment horizontal="right" vertical="center"/>
    </xf>
    <xf numFmtId="170" fontId="27" fillId="0" borderId="0" xfId="43" applyNumberFormat="1" applyFont="1" applyFill="1" applyAlignment="1">
      <alignment horizontal="right"/>
    </xf>
    <xf numFmtId="172" fontId="24" fillId="0" borderId="11" xfId="44" applyNumberFormat="1" applyFont="1" applyFill="1" applyBorder="1" applyAlignment="1">
      <alignment horizontal="right" vertical="center"/>
    </xf>
    <xf numFmtId="177" fontId="21" fillId="0" borderId="0" xfId="0" applyNumberFormat="1" applyFont="1"/>
    <xf numFmtId="170" fontId="21" fillId="0" borderId="0" xfId="0" applyNumberFormat="1" applyFont="1"/>
    <xf numFmtId="43" fontId="21" fillId="0" borderId="0" xfId="0" applyNumberFormat="1" applyFont="1"/>
    <xf numFmtId="170" fontId="21" fillId="0" borderId="0" xfId="43" applyNumberFormat="1" applyFont="1" applyFill="1"/>
    <xf numFmtId="172" fontId="41" fillId="34" borderId="0" xfId="0" applyNumberFormat="1" applyFont="1" applyFill="1" applyAlignment="1">
      <alignment vertical="top" wrapText="1"/>
    </xf>
    <xf numFmtId="0" fontId="50" fillId="0" borderId="26" xfId="0" applyFont="1" applyBorder="1" applyAlignment="1">
      <alignment wrapText="1" readingOrder="1"/>
    </xf>
    <xf numFmtId="0" fontId="49" fillId="0" borderId="26" xfId="0" applyFont="1" applyBorder="1" applyAlignment="1">
      <alignment horizontal="right" wrapText="1" readingOrder="1"/>
    </xf>
    <xf numFmtId="0" fontId="48" fillId="0" borderId="0" xfId="0" applyFont="1" applyAlignment="1">
      <alignment vertical="top" wrapText="1" readingOrder="1"/>
    </xf>
    <xf numFmtId="0" fontId="49" fillId="0" borderId="27" xfId="0" applyFont="1" applyBorder="1" applyAlignment="1">
      <alignment vertical="top" wrapText="1" readingOrder="1"/>
    </xf>
    <xf numFmtId="173" fontId="52" fillId="0" borderId="0" xfId="48" applyNumberFormat="1" applyFont="1" applyAlignment="1">
      <alignment horizontal="right" vertical="top" wrapText="1" readingOrder="1"/>
    </xf>
    <xf numFmtId="173" fontId="53" fillId="0" borderId="0" xfId="48" applyNumberFormat="1" applyFont="1" applyAlignment="1">
      <alignment horizontal="right" vertical="top" wrapText="1" readingOrder="1"/>
    </xf>
    <xf numFmtId="173" fontId="54" fillId="0" borderId="0" xfId="48" applyNumberFormat="1" applyFont="1" applyAlignment="1">
      <alignment horizontal="right" vertical="top" wrapText="1" readingOrder="1"/>
    </xf>
    <xf numFmtId="176" fontId="54" fillId="0" borderId="0" xfId="48" applyNumberFormat="1" applyFont="1" applyAlignment="1">
      <alignment horizontal="right" vertical="top" wrapText="1" readingOrder="1"/>
    </xf>
    <xf numFmtId="176" fontId="53" fillId="0" borderId="0" xfId="48" applyNumberFormat="1" applyFont="1" applyAlignment="1">
      <alignment horizontal="right" vertical="top" wrapText="1" readingOrder="1"/>
    </xf>
    <xf numFmtId="0" fontId="53" fillId="0" borderId="0" xfId="48" applyFont="1" applyAlignment="1">
      <alignment horizontal="right" vertical="top" wrapText="1" readingOrder="1"/>
    </xf>
    <xf numFmtId="175" fontId="51" fillId="0" borderId="27" xfId="48" applyNumberFormat="1" applyFont="1" applyBorder="1" applyAlignment="1">
      <alignment horizontal="right" vertical="top" wrapText="1" readingOrder="1"/>
    </xf>
    <xf numFmtId="176" fontId="51" fillId="0" borderId="27" xfId="48" applyNumberFormat="1" applyFont="1" applyBorder="1" applyAlignment="1">
      <alignment horizontal="right" vertical="top" wrapText="1" readingOrder="1"/>
    </xf>
    <xf numFmtId="0" fontId="50" fillId="0" borderId="26" xfId="0" applyFont="1" applyBorder="1" applyAlignment="1">
      <alignment horizontal="right" wrapText="1" readingOrder="1"/>
    </xf>
    <xf numFmtId="0" fontId="50" fillId="40" borderId="26" xfId="0" applyFont="1" applyFill="1" applyBorder="1" applyAlignment="1">
      <alignment horizontal="right" wrapText="1" readingOrder="1"/>
    </xf>
    <xf numFmtId="170" fontId="22" fillId="0" borderId="0" xfId="43" applyNumberFormat="1" applyFont="1" applyAlignment="1">
      <alignment horizontal="right" indent="2"/>
    </xf>
    <xf numFmtId="172" fontId="43" fillId="34" borderId="0" xfId="43" applyNumberFormat="1" applyFont="1" applyFill="1" applyAlignment="1">
      <alignment horizontal="right"/>
    </xf>
    <xf numFmtId="170" fontId="55" fillId="34" borderId="0" xfId="43" applyNumberFormat="1" applyFont="1" applyFill="1" applyAlignment="1">
      <alignment horizontal="right"/>
    </xf>
    <xf numFmtId="172" fontId="18" fillId="34" borderId="0" xfId="0" applyNumberFormat="1" applyFont="1" applyFill="1" applyAlignment="1">
      <alignment wrapText="1"/>
    </xf>
    <xf numFmtId="164" fontId="42" fillId="0" borderId="0" xfId="0" quotePrefix="1" applyNumberFormat="1" applyFont="1" applyFill="1" applyAlignment="1">
      <alignment horizontal="center" wrapText="1"/>
    </xf>
    <xf numFmtId="172" fontId="47" fillId="0" borderId="11" xfId="44" applyNumberFormat="1" applyFont="1" applyFill="1" applyBorder="1" applyAlignment="1">
      <alignment horizontal="right" vertical="center"/>
    </xf>
    <xf numFmtId="0" fontId="40" fillId="0" borderId="29" xfId="48" applyFont="1" applyBorder="1" applyAlignment="1">
      <alignment horizontal="right" vertical="top" wrapText="1" readingOrder="1"/>
    </xf>
    <xf numFmtId="0" fontId="24" fillId="0" borderId="0" xfId="0" applyFont="1" applyAlignment="1">
      <alignment horizontal="left" vertical="top" wrapText="1"/>
    </xf>
    <xf numFmtId="0" fontId="28" fillId="0" borderId="0" xfId="0" applyFont="1" applyAlignment="1">
      <alignment wrapText="1"/>
    </xf>
    <xf numFmtId="0" fontId="29" fillId="0" borderId="0" xfId="0" applyFont="1" applyAlignment="1">
      <alignment horizontal="center" vertical="top" wrapText="1"/>
    </xf>
    <xf numFmtId="0" fontId="24" fillId="34" borderId="0" xfId="0" applyFont="1" applyFill="1" applyAlignment="1">
      <alignment horizontal="left" vertical="top" wrapText="1"/>
    </xf>
    <xf numFmtId="0" fontId="28" fillId="34" borderId="0" xfId="0" applyFont="1" applyFill="1" applyAlignment="1">
      <alignment wrapText="1"/>
    </xf>
    <xf numFmtId="0" fontId="29" fillId="34" borderId="0" xfId="0" applyFont="1" applyFill="1" applyAlignment="1">
      <alignment horizontal="center" vertical="top" wrapText="1"/>
    </xf>
    <xf numFmtId="0" fontId="30" fillId="39" borderId="14" xfId="0" applyFont="1" applyFill="1" applyBorder="1" applyAlignment="1">
      <alignment horizontal="right" vertical="center" wrapText="1"/>
    </xf>
    <xf numFmtId="0" fontId="30" fillId="39" borderId="16" xfId="0" applyFont="1" applyFill="1" applyBorder="1" applyAlignment="1">
      <alignment horizontal="right" vertical="center" wrapText="1"/>
    </xf>
  </cellXfs>
  <cellStyles count="49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3" builtinId="3"/>
    <cellStyle name="Currency" xfId="44" builtinId="4"/>
    <cellStyle name="Explanatory Text" xfId="16" builtinId="53" customBuiltin="1"/>
    <cellStyle name="FooterStyle" xfId="47" xr:uid="{0EF06308-A710-473F-A000-EB422286C4E3}"/>
    <cellStyle name="Good" xfId="6" builtinId="26" customBuiltin="1"/>
    <cellStyle name="HeaderStyle" xfId="45" xr:uid="{D83923B1-1DBE-4279-AE1F-FD616B09F085}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8" xr:uid="{17CB81FF-B1ED-4BAF-ACE1-D95450ADFEB4}"/>
    <cellStyle name="Note" xfId="15" builtinId="10" customBuiltin="1"/>
    <cellStyle name="NumberStyle" xfId="46" xr:uid="{F3728DB1-6C7E-49A4-A957-C0110ED46A75}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3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1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3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4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0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3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54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6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7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8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9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images/spacer.gif" TargetMode="Externa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_rels/vmlDrawing10.vml.rels><?xml version="1.0" encoding="UTF-8" standalone="yes"?>
<Relationships xmlns="http://schemas.openxmlformats.org/package/2006/relationships"><Relationship Id="rId3" Type="http://schemas.openxmlformats.org/officeDocument/2006/relationships/image" Target="../media/image25.emf"/><Relationship Id="rId2" Type="http://schemas.openxmlformats.org/officeDocument/2006/relationships/image" Target="../media/image26.emf"/><Relationship Id="rId1" Type="http://schemas.openxmlformats.org/officeDocument/2006/relationships/image" Target="../media/image27.emf"/></Relationships>
</file>

<file path=xl/drawings/_rels/vmlDrawing1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28.emf"/><Relationship Id="rId1" Type="http://schemas.openxmlformats.org/officeDocument/2006/relationships/image" Target="../media/image29.emf"/></Relationships>
</file>

<file path=xl/drawings/_rels/vmlDrawing12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3.emf"/><Relationship Id="rId1" Type="http://schemas.openxmlformats.org/officeDocument/2006/relationships/image" Target="../media/image20.emf"/></Relationships>
</file>

<file path=xl/drawings/_rels/vmlDrawing1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3.emf"/><Relationship Id="rId1" Type="http://schemas.openxmlformats.org/officeDocument/2006/relationships/image" Target="../media/image9.emf"/></Relationships>
</file>

<file path=xl/drawings/_rels/vmlDrawing1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0.emf"/><Relationship Id="rId2" Type="http://schemas.openxmlformats.org/officeDocument/2006/relationships/image" Target="../media/image8.emf"/><Relationship Id="rId1" Type="http://schemas.openxmlformats.org/officeDocument/2006/relationships/image" Target="../media/image20.emf"/></Relationships>
</file>

<file path=xl/drawings/_rels/vmlDrawing1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21.emf"/><Relationship Id="rId1" Type="http://schemas.openxmlformats.org/officeDocument/2006/relationships/image" Target="../media/image31.emf"/></Relationships>
</file>

<file path=xl/drawings/_rels/vmlDrawing1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2.emf"/><Relationship Id="rId2" Type="http://schemas.openxmlformats.org/officeDocument/2006/relationships/image" Target="../media/image33.emf"/><Relationship Id="rId1" Type="http://schemas.openxmlformats.org/officeDocument/2006/relationships/image" Target="../media/image15.emf"/></Relationships>
</file>

<file path=xl/drawings/_rels/vmlDrawing17.vml.rels><?xml version="1.0" encoding="UTF-8" standalone="yes"?>
<Relationships xmlns="http://schemas.openxmlformats.org/package/2006/relationships"><Relationship Id="rId3" Type="http://schemas.openxmlformats.org/officeDocument/2006/relationships/image" Target="../media/image34.emf"/><Relationship Id="rId2" Type="http://schemas.openxmlformats.org/officeDocument/2006/relationships/image" Target="../media/image35.emf"/><Relationship Id="rId1" Type="http://schemas.openxmlformats.org/officeDocument/2006/relationships/image" Target="../media/image36.emf"/></Relationships>
</file>

<file path=xl/drawings/_rels/vmlDrawing1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37.emf"/><Relationship Id="rId1" Type="http://schemas.openxmlformats.org/officeDocument/2006/relationships/image" Target="../media/image38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5.emf"/><Relationship Id="rId1" Type="http://schemas.openxmlformats.org/officeDocument/2006/relationships/image" Target="../media/image6.emf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8.emf"/><Relationship Id="rId1" Type="http://schemas.openxmlformats.org/officeDocument/2006/relationships/image" Target="../media/image9.emf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11.emf"/><Relationship Id="rId1" Type="http://schemas.openxmlformats.org/officeDocument/2006/relationships/image" Target="../media/image12.emf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13.emf"/><Relationship Id="rId2" Type="http://schemas.openxmlformats.org/officeDocument/2006/relationships/image" Target="../media/image14.emf"/><Relationship Id="rId1" Type="http://schemas.openxmlformats.org/officeDocument/2006/relationships/image" Target="../media/image15.emf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16.emf"/><Relationship Id="rId2" Type="http://schemas.openxmlformats.org/officeDocument/2006/relationships/image" Target="../media/image17.emf"/><Relationship Id="rId1" Type="http://schemas.openxmlformats.org/officeDocument/2006/relationships/image" Target="../media/image18.emf"/></Relationships>
</file>

<file path=xl/drawings/_rels/vmlDrawing7.vml.rels><?xml version="1.0" encoding="UTF-8" standalone="yes"?>
<Relationships xmlns="http://schemas.openxmlformats.org/package/2006/relationships"><Relationship Id="rId3" Type="http://schemas.openxmlformats.org/officeDocument/2006/relationships/image" Target="../media/image19.emf"/><Relationship Id="rId2" Type="http://schemas.openxmlformats.org/officeDocument/2006/relationships/image" Target="../media/image8.emf"/><Relationship Id="rId1" Type="http://schemas.openxmlformats.org/officeDocument/2006/relationships/image" Target="../media/image20.emf"/></Relationships>
</file>

<file path=xl/drawings/_rels/vmlDrawing8.vml.rels><?xml version="1.0" encoding="UTF-8" standalone="yes"?>
<Relationships xmlns="http://schemas.openxmlformats.org/package/2006/relationships"><Relationship Id="rId3" Type="http://schemas.openxmlformats.org/officeDocument/2006/relationships/image" Target="../media/image10.emf"/><Relationship Id="rId2" Type="http://schemas.openxmlformats.org/officeDocument/2006/relationships/image" Target="../media/image21.emf"/><Relationship Id="rId1" Type="http://schemas.openxmlformats.org/officeDocument/2006/relationships/image" Target="../media/image22.emf"/></Relationships>
</file>

<file path=xl/drawings/_rels/vmlDrawing9.vml.rels><?xml version="1.0" encoding="UTF-8" standalone="yes"?>
<Relationships xmlns="http://schemas.openxmlformats.org/package/2006/relationships"><Relationship Id="rId3" Type="http://schemas.openxmlformats.org/officeDocument/2006/relationships/image" Target="../media/image7.emf"/><Relationship Id="rId2" Type="http://schemas.openxmlformats.org/officeDocument/2006/relationships/image" Target="../media/image23.emf"/><Relationship Id="rId1" Type="http://schemas.openxmlformats.org/officeDocument/2006/relationships/image" Target="../media/image24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1021373</xdr:colOff>
      <xdr:row>1</xdr:row>
      <xdr:rowOff>66675</xdr:rowOff>
    </xdr:from>
    <xdr:ext cx="2900729" cy="506742"/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230923" y="257175"/>
          <a:ext cx="2900729" cy="506742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Operation and Maintenance Fund Budget by Account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S Sans Serif"/>
            </a:rPr>
            <a:t>FY2026</a:t>
          </a:r>
        </a:p>
      </xdr:txBody>
    </xdr:sp>
    <xdr:clientData/>
  </xdr:oneCellAnchor>
  <xdr:oneCellAnchor>
    <xdr:from>
      <xdr:col>1</xdr:col>
      <xdr:colOff>0</xdr:colOff>
      <xdr:row>76</xdr:row>
      <xdr:rowOff>0</xdr:rowOff>
    </xdr:from>
    <xdr:ext cx="9525" cy="9525"/>
    <xdr:pic>
      <xdr:nvPicPr>
        <xdr:cNvPr id="3" name="Picture 6" descr="../images/spacer.gif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7823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655493</xdr:colOff>
          <xdr:row>0</xdr:row>
          <xdr:rowOff>0</xdr:rowOff>
        </xdr:from>
        <xdr:to>
          <xdr:col>1</xdr:col>
          <xdr:colOff>1665143</xdr:colOff>
          <xdr:row>1</xdr:row>
          <xdr:rowOff>65809</xdr:rowOff>
        </xdr:to>
        <xdr:sp macro="" textlink="">
          <xdr:nvSpPr>
            <xdr:cNvPr id="25601" name="Control 1" hidden="1">
              <a:extLst>
                <a:ext uri="{63B3BB69-23CF-44E3-9099-C40C66FF867C}">
                  <a14:compatExt spid="_x0000_s25601"/>
                </a:ext>
                <a:ext uri="{FF2B5EF4-FFF2-40B4-BE49-F238E27FC236}">
                  <a16:creationId xmlns:a16="http://schemas.microsoft.com/office/drawing/2014/main" id="{00000000-0008-0000-0B00-000001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626918</xdr:colOff>
          <xdr:row>0</xdr:row>
          <xdr:rowOff>0</xdr:rowOff>
        </xdr:from>
        <xdr:to>
          <xdr:col>1</xdr:col>
          <xdr:colOff>1636568</xdr:colOff>
          <xdr:row>1</xdr:row>
          <xdr:rowOff>65809</xdr:rowOff>
        </xdr:to>
        <xdr:sp macro="" textlink="">
          <xdr:nvSpPr>
            <xdr:cNvPr id="25602" name="Control 2" hidden="1">
              <a:extLst>
                <a:ext uri="{63B3BB69-23CF-44E3-9099-C40C66FF867C}">
                  <a14:compatExt spid="_x0000_s25602"/>
                </a:ext>
                <a:ext uri="{FF2B5EF4-FFF2-40B4-BE49-F238E27FC236}">
                  <a16:creationId xmlns:a16="http://schemas.microsoft.com/office/drawing/2014/main" id="{00000000-0008-0000-0B00-000002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1255568</xdr:colOff>
          <xdr:row>0</xdr:row>
          <xdr:rowOff>0</xdr:rowOff>
        </xdr:from>
        <xdr:to>
          <xdr:col>1</xdr:col>
          <xdr:colOff>2265218</xdr:colOff>
          <xdr:row>1</xdr:row>
          <xdr:rowOff>65809</xdr:rowOff>
        </xdr:to>
        <xdr:sp macro="" textlink="">
          <xdr:nvSpPr>
            <xdr:cNvPr id="25603" name="Control 3" hidden="1">
              <a:extLst>
                <a:ext uri="{63B3BB69-23CF-44E3-9099-C40C66FF867C}">
                  <a14:compatExt spid="_x0000_s25603"/>
                </a:ext>
                <a:ext uri="{FF2B5EF4-FFF2-40B4-BE49-F238E27FC236}">
                  <a16:creationId xmlns:a16="http://schemas.microsoft.com/office/drawing/2014/main" id="{00000000-0008-0000-0B00-0000036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1883934</xdr:colOff>
      <xdr:row>2</xdr:row>
      <xdr:rowOff>76200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SpPr txBox="1">
          <a:spLocks noChangeArrowheads="1"/>
        </xdr:cNvSpPr>
      </xdr:nvSpPr>
      <xdr:spPr bwMode="auto">
        <a:xfrm>
          <a:off x="2531634" y="43815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7700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1664915</xdr:colOff>
      <xdr:row>5</xdr:row>
      <xdr:rowOff>76200</xdr:rowOff>
    </xdr:from>
    <xdr:ext cx="2394694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 txBox="1">
          <a:spLocks noChangeArrowheads="1"/>
        </xdr:cNvSpPr>
      </xdr:nvSpPr>
      <xdr:spPr bwMode="auto">
        <a:xfrm>
          <a:off x="2312615" y="981075"/>
          <a:ext cx="2394694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Human Resources - (20002)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710712</xdr:colOff>
          <xdr:row>0</xdr:row>
          <xdr:rowOff>0</xdr:rowOff>
        </xdr:from>
        <xdr:to>
          <xdr:col>1</xdr:col>
          <xdr:colOff>1901337</xdr:colOff>
          <xdr:row>1</xdr:row>
          <xdr:rowOff>112102</xdr:rowOff>
        </xdr:to>
        <xdr:sp macro="" textlink="">
          <xdr:nvSpPr>
            <xdr:cNvPr id="26625" name="Control 1" hidden="1">
              <a:extLst>
                <a:ext uri="{63B3BB69-23CF-44E3-9099-C40C66FF867C}">
                  <a14:compatExt spid="_x0000_s26625"/>
                </a:ext>
                <a:ext uri="{FF2B5EF4-FFF2-40B4-BE49-F238E27FC236}">
                  <a16:creationId xmlns:a16="http://schemas.microsoft.com/office/drawing/2014/main" id="{00000000-0008-0000-0C00-000001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615462</xdr:colOff>
          <xdr:row>0</xdr:row>
          <xdr:rowOff>0</xdr:rowOff>
        </xdr:from>
        <xdr:to>
          <xdr:col>1</xdr:col>
          <xdr:colOff>1806087</xdr:colOff>
          <xdr:row>1</xdr:row>
          <xdr:rowOff>112102</xdr:rowOff>
        </xdr:to>
        <xdr:sp macro="" textlink="">
          <xdr:nvSpPr>
            <xdr:cNvPr id="26626" name="Control 2" hidden="1">
              <a:extLst>
                <a:ext uri="{63B3BB69-23CF-44E3-9099-C40C66FF867C}">
                  <a14:compatExt spid="_x0000_s26626"/>
                </a:ext>
                <a:ext uri="{FF2B5EF4-FFF2-40B4-BE49-F238E27FC236}">
                  <a16:creationId xmlns:a16="http://schemas.microsoft.com/office/drawing/2014/main" id="{00000000-0008-0000-0C00-000002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1244112</xdr:colOff>
          <xdr:row>0</xdr:row>
          <xdr:rowOff>0</xdr:rowOff>
        </xdr:from>
        <xdr:to>
          <xdr:col>2</xdr:col>
          <xdr:colOff>441813</xdr:colOff>
          <xdr:row>1</xdr:row>
          <xdr:rowOff>112102</xdr:rowOff>
        </xdr:to>
        <xdr:sp macro="" textlink="">
          <xdr:nvSpPr>
            <xdr:cNvPr id="26627" name="Control 3" hidden="1">
              <a:extLst>
                <a:ext uri="{63B3BB69-23CF-44E3-9099-C40C66FF867C}">
                  <a14:compatExt spid="_x0000_s26627"/>
                </a:ext>
                <a:ext uri="{FF2B5EF4-FFF2-40B4-BE49-F238E27FC236}">
                  <a16:creationId xmlns:a16="http://schemas.microsoft.com/office/drawing/2014/main" id="{00000000-0008-0000-0C00-0000036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1502934</xdr:colOff>
      <xdr:row>2</xdr:row>
      <xdr:rowOff>66675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SpPr txBox="1">
          <a:spLocks noChangeArrowheads="1"/>
        </xdr:cNvSpPr>
      </xdr:nvSpPr>
      <xdr:spPr bwMode="auto">
        <a:xfrm>
          <a:off x="2217309" y="42862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1554450</xdr:colOff>
      <xdr:row>5</xdr:row>
      <xdr:rowOff>66675</xdr:rowOff>
    </xdr:from>
    <xdr:ext cx="2120324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SpPr txBox="1">
          <a:spLocks noChangeArrowheads="1"/>
        </xdr:cNvSpPr>
      </xdr:nvSpPr>
      <xdr:spPr bwMode="auto">
        <a:xfrm>
          <a:off x="2268825" y="971550"/>
          <a:ext cx="2120324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Internal Audit - (10811)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0</xdr:row>
          <xdr:rowOff>0</xdr:rowOff>
        </xdr:from>
        <xdr:to>
          <xdr:col>1</xdr:col>
          <xdr:colOff>1133475</xdr:colOff>
          <xdr:row>1</xdr:row>
          <xdr:rowOff>93662</xdr:rowOff>
        </xdr:to>
        <xdr:sp macro="" textlink="">
          <xdr:nvSpPr>
            <xdr:cNvPr id="27649" name="Control 1" hidden="1">
              <a:extLst>
                <a:ext uri="{63B3BB69-23CF-44E3-9099-C40C66FF867C}">
                  <a14:compatExt spid="_x0000_s27649"/>
                </a:ext>
                <a:ext uri="{FF2B5EF4-FFF2-40B4-BE49-F238E27FC236}">
                  <a16:creationId xmlns:a16="http://schemas.microsoft.com/office/drawing/2014/main" id="{00000000-0008-0000-0D00-000001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657225</xdr:colOff>
          <xdr:row>0</xdr:row>
          <xdr:rowOff>0</xdr:rowOff>
        </xdr:from>
        <xdr:to>
          <xdr:col>1</xdr:col>
          <xdr:colOff>1752600</xdr:colOff>
          <xdr:row>1</xdr:row>
          <xdr:rowOff>93662</xdr:rowOff>
        </xdr:to>
        <xdr:sp macro="" textlink="">
          <xdr:nvSpPr>
            <xdr:cNvPr id="27650" name="Control 2" hidden="1">
              <a:extLst>
                <a:ext uri="{63B3BB69-23CF-44E3-9099-C40C66FF867C}">
                  <a14:compatExt spid="_x0000_s27650"/>
                </a:ext>
                <a:ext uri="{FF2B5EF4-FFF2-40B4-BE49-F238E27FC236}">
                  <a16:creationId xmlns:a16="http://schemas.microsoft.com/office/drawing/2014/main" id="{00000000-0008-0000-0D00-000002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1285875</xdr:colOff>
          <xdr:row>0</xdr:row>
          <xdr:rowOff>0</xdr:rowOff>
        </xdr:from>
        <xdr:to>
          <xdr:col>2</xdr:col>
          <xdr:colOff>0</xdr:colOff>
          <xdr:row>1</xdr:row>
          <xdr:rowOff>93662</xdr:rowOff>
        </xdr:to>
        <xdr:sp macro="" textlink="">
          <xdr:nvSpPr>
            <xdr:cNvPr id="27651" name="Control 3" hidden="1">
              <a:extLst>
                <a:ext uri="{63B3BB69-23CF-44E3-9099-C40C66FF867C}">
                  <a14:compatExt spid="_x0000_s27651"/>
                </a:ext>
                <a:ext uri="{FF2B5EF4-FFF2-40B4-BE49-F238E27FC236}">
                  <a16:creationId xmlns:a16="http://schemas.microsoft.com/office/drawing/2014/main" id="{00000000-0008-0000-0D00-0000036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1560084</xdr:colOff>
      <xdr:row>2</xdr:row>
      <xdr:rowOff>57150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 txBox="1">
          <a:spLocks noChangeArrowheads="1"/>
        </xdr:cNvSpPr>
      </xdr:nvSpPr>
      <xdr:spPr bwMode="auto">
        <a:xfrm>
          <a:off x="2369709" y="4191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1596941</xdr:colOff>
      <xdr:row>5</xdr:row>
      <xdr:rowOff>66675</xdr:rowOff>
    </xdr:from>
    <xdr:ext cx="2197268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 txBox="1">
          <a:spLocks noChangeArrowheads="1"/>
        </xdr:cNvSpPr>
      </xdr:nvSpPr>
      <xdr:spPr bwMode="auto">
        <a:xfrm>
          <a:off x="2406566" y="971550"/>
          <a:ext cx="2197268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Legal Services - (10911)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540327</xdr:colOff>
          <xdr:row>0</xdr:row>
          <xdr:rowOff>0</xdr:rowOff>
        </xdr:from>
        <xdr:to>
          <xdr:col>1</xdr:col>
          <xdr:colOff>1549977</xdr:colOff>
          <xdr:row>1</xdr:row>
          <xdr:rowOff>65809</xdr:rowOff>
        </xdr:to>
        <xdr:sp macro="" textlink="">
          <xdr:nvSpPr>
            <xdr:cNvPr id="28673" name="Control 1" hidden="1">
              <a:extLst>
                <a:ext uri="{63B3BB69-23CF-44E3-9099-C40C66FF867C}">
                  <a14:compatExt spid="_x0000_s28673"/>
                </a:ext>
                <a:ext uri="{FF2B5EF4-FFF2-40B4-BE49-F238E27FC236}">
                  <a16:creationId xmlns:a16="http://schemas.microsoft.com/office/drawing/2014/main" id="{00000000-0008-0000-0E00-000001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616527</xdr:colOff>
          <xdr:row>0</xdr:row>
          <xdr:rowOff>0</xdr:rowOff>
        </xdr:from>
        <xdr:to>
          <xdr:col>1</xdr:col>
          <xdr:colOff>1626177</xdr:colOff>
          <xdr:row>1</xdr:row>
          <xdr:rowOff>65809</xdr:rowOff>
        </xdr:to>
        <xdr:sp macro="" textlink="">
          <xdr:nvSpPr>
            <xdr:cNvPr id="28674" name="Control 2" hidden="1">
              <a:extLst>
                <a:ext uri="{63B3BB69-23CF-44E3-9099-C40C66FF867C}">
                  <a14:compatExt spid="_x0000_s28674"/>
                </a:ext>
                <a:ext uri="{FF2B5EF4-FFF2-40B4-BE49-F238E27FC236}">
                  <a16:creationId xmlns:a16="http://schemas.microsoft.com/office/drawing/2014/main" id="{00000000-0008-0000-0E00-000002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1245177</xdr:colOff>
          <xdr:row>0</xdr:row>
          <xdr:rowOff>0</xdr:rowOff>
        </xdr:from>
        <xdr:to>
          <xdr:col>1</xdr:col>
          <xdr:colOff>2254827</xdr:colOff>
          <xdr:row>1</xdr:row>
          <xdr:rowOff>65809</xdr:rowOff>
        </xdr:to>
        <xdr:sp macro="" textlink="">
          <xdr:nvSpPr>
            <xdr:cNvPr id="28675" name="Control 3" hidden="1">
              <a:extLst>
                <a:ext uri="{63B3BB69-23CF-44E3-9099-C40C66FF867C}">
                  <a14:compatExt spid="_x0000_s28675"/>
                </a:ext>
                <a:ext uri="{FF2B5EF4-FFF2-40B4-BE49-F238E27FC236}">
                  <a16:creationId xmlns:a16="http://schemas.microsoft.com/office/drawing/2014/main" id="{00000000-0008-0000-0E00-0000037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1588659</xdr:colOff>
      <xdr:row>2</xdr:row>
      <xdr:rowOff>66675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SpPr txBox="1">
          <a:spLocks noChangeArrowheads="1"/>
        </xdr:cNvSpPr>
      </xdr:nvSpPr>
      <xdr:spPr bwMode="auto">
        <a:xfrm>
          <a:off x="2131584" y="42862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60614</xdr:colOff>
      <xdr:row>8</xdr:row>
      <xdr:rowOff>0</xdr:rowOff>
    </xdr:from>
    <xdr:to>
      <xdr:col>1</xdr:col>
      <xdr:colOff>70139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E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539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1445593</xdr:colOff>
      <xdr:row>5</xdr:row>
      <xdr:rowOff>95250</xdr:rowOff>
    </xdr:from>
    <xdr:ext cx="3004797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E00-000004000000}"/>
            </a:ext>
          </a:extLst>
        </xdr:cNvPr>
        <xdr:cNvSpPr txBox="1">
          <a:spLocks noChangeArrowheads="1"/>
        </xdr:cNvSpPr>
      </xdr:nvSpPr>
      <xdr:spPr bwMode="auto">
        <a:xfrm>
          <a:off x="1988518" y="1000125"/>
          <a:ext cx="3004797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Contact Center and Collections - (20030)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540327</xdr:colOff>
          <xdr:row>0</xdr:row>
          <xdr:rowOff>0</xdr:rowOff>
        </xdr:from>
        <xdr:to>
          <xdr:col>1</xdr:col>
          <xdr:colOff>1549977</xdr:colOff>
          <xdr:row>1</xdr:row>
          <xdr:rowOff>65809</xdr:rowOff>
        </xdr:to>
        <xdr:sp macro="" textlink="">
          <xdr:nvSpPr>
            <xdr:cNvPr id="29697" name="Control 1" hidden="1">
              <a:extLst>
                <a:ext uri="{63B3BB69-23CF-44E3-9099-C40C66FF867C}">
                  <a14:compatExt spid="_x0000_s29697"/>
                </a:ext>
                <a:ext uri="{FF2B5EF4-FFF2-40B4-BE49-F238E27FC236}">
                  <a16:creationId xmlns:a16="http://schemas.microsoft.com/office/drawing/2014/main" id="{00000000-0008-0000-0F00-000001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616527</xdr:colOff>
          <xdr:row>0</xdr:row>
          <xdr:rowOff>0</xdr:rowOff>
        </xdr:from>
        <xdr:to>
          <xdr:col>1</xdr:col>
          <xdr:colOff>1626177</xdr:colOff>
          <xdr:row>1</xdr:row>
          <xdr:rowOff>65809</xdr:rowOff>
        </xdr:to>
        <xdr:sp macro="" textlink="">
          <xdr:nvSpPr>
            <xdr:cNvPr id="29698" name="Control 2" hidden="1">
              <a:extLst>
                <a:ext uri="{63B3BB69-23CF-44E3-9099-C40C66FF867C}">
                  <a14:compatExt spid="_x0000_s29698"/>
                </a:ext>
                <a:ext uri="{FF2B5EF4-FFF2-40B4-BE49-F238E27FC236}">
                  <a16:creationId xmlns:a16="http://schemas.microsoft.com/office/drawing/2014/main" id="{00000000-0008-0000-0F00-000002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1245177</xdr:colOff>
          <xdr:row>0</xdr:row>
          <xdr:rowOff>0</xdr:rowOff>
        </xdr:from>
        <xdr:to>
          <xdr:col>1</xdr:col>
          <xdr:colOff>2254827</xdr:colOff>
          <xdr:row>1</xdr:row>
          <xdr:rowOff>65809</xdr:rowOff>
        </xdr:to>
        <xdr:sp macro="" textlink="">
          <xdr:nvSpPr>
            <xdr:cNvPr id="29699" name="Control 3" hidden="1">
              <a:extLst>
                <a:ext uri="{63B3BB69-23CF-44E3-9099-C40C66FF867C}">
                  <a14:compatExt spid="_x0000_s29699"/>
                </a:ext>
                <a:ext uri="{FF2B5EF4-FFF2-40B4-BE49-F238E27FC236}">
                  <a16:creationId xmlns:a16="http://schemas.microsoft.com/office/drawing/2014/main" id="{00000000-0008-0000-0F00-0000037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1474359</xdr:colOff>
      <xdr:row>2</xdr:row>
      <xdr:rowOff>47625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SpPr txBox="1">
          <a:spLocks noChangeArrowheads="1"/>
        </xdr:cNvSpPr>
      </xdr:nvSpPr>
      <xdr:spPr bwMode="auto">
        <a:xfrm>
          <a:off x="2017284" y="40957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1410524</xdr:colOff>
      <xdr:row>5</xdr:row>
      <xdr:rowOff>76200</xdr:rowOff>
    </xdr:from>
    <xdr:ext cx="2646302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SpPr txBox="1">
          <a:spLocks noChangeArrowheads="1"/>
        </xdr:cNvSpPr>
      </xdr:nvSpPr>
      <xdr:spPr bwMode="auto">
        <a:xfrm>
          <a:off x="1953449" y="981075"/>
          <a:ext cx="2646302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Information Technology - (20111)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540327</xdr:colOff>
          <xdr:row>0</xdr:row>
          <xdr:rowOff>0</xdr:rowOff>
        </xdr:from>
        <xdr:to>
          <xdr:col>1</xdr:col>
          <xdr:colOff>1549977</xdr:colOff>
          <xdr:row>1</xdr:row>
          <xdr:rowOff>65809</xdr:rowOff>
        </xdr:to>
        <xdr:sp macro="" textlink="">
          <xdr:nvSpPr>
            <xdr:cNvPr id="30721" name="Control 1" hidden="1">
              <a:extLst>
                <a:ext uri="{63B3BB69-23CF-44E3-9099-C40C66FF867C}">
                  <a14:compatExt spid="_x0000_s30721"/>
                </a:ext>
                <a:ext uri="{FF2B5EF4-FFF2-40B4-BE49-F238E27FC236}">
                  <a16:creationId xmlns:a16="http://schemas.microsoft.com/office/drawing/2014/main" id="{00000000-0008-0000-1000-000001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616527</xdr:colOff>
          <xdr:row>0</xdr:row>
          <xdr:rowOff>0</xdr:rowOff>
        </xdr:from>
        <xdr:to>
          <xdr:col>1</xdr:col>
          <xdr:colOff>1626177</xdr:colOff>
          <xdr:row>1</xdr:row>
          <xdr:rowOff>65809</xdr:rowOff>
        </xdr:to>
        <xdr:sp macro="" textlink="">
          <xdr:nvSpPr>
            <xdr:cNvPr id="30722" name="Control 2" hidden="1">
              <a:extLst>
                <a:ext uri="{63B3BB69-23CF-44E3-9099-C40C66FF867C}">
                  <a14:compatExt spid="_x0000_s30722"/>
                </a:ext>
                <a:ext uri="{FF2B5EF4-FFF2-40B4-BE49-F238E27FC236}">
                  <a16:creationId xmlns:a16="http://schemas.microsoft.com/office/drawing/2014/main" id="{00000000-0008-0000-1000-000002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1245177</xdr:colOff>
          <xdr:row>0</xdr:row>
          <xdr:rowOff>0</xdr:rowOff>
        </xdr:from>
        <xdr:to>
          <xdr:col>2</xdr:col>
          <xdr:colOff>150668</xdr:colOff>
          <xdr:row>1</xdr:row>
          <xdr:rowOff>65809</xdr:rowOff>
        </xdr:to>
        <xdr:sp macro="" textlink="">
          <xdr:nvSpPr>
            <xdr:cNvPr id="30723" name="Control 3" hidden="1">
              <a:extLst>
                <a:ext uri="{63B3BB69-23CF-44E3-9099-C40C66FF867C}">
                  <a14:compatExt spid="_x0000_s30723"/>
                </a:ext>
                <a:ext uri="{FF2B5EF4-FFF2-40B4-BE49-F238E27FC236}">
                  <a16:creationId xmlns:a16="http://schemas.microsoft.com/office/drawing/2014/main" id="{00000000-0008-0000-1000-0000037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1474359</xdr:colOff>
      <xdr:row>2</xdr:row>
      <xdr:rowOff>142875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SpPr txBox="1">
          <a:spLocks noChangeArrowheads="1"/>
        </xdr:cNvSpPr>
      </xdr:nvSpPr>
      <xdr:spPr bwMode="auto">
        <a:xfrm>
          <a:off x="2017284" y="50482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1549925</xdr:colOff>
      <xdr:row>5</xdr:row>
      <xdr:rowOff>114300</xdr:rowOff>
    </xdr:from>
    <xdr:ext cx="2005549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SpPr txBox="1">
          <a:spLocks noChangeArrowheads="1"/>
        </xdr:cNvSpPr>
      </xdr:nvSpPr>
      <xdr:spPr bwMode="auto">
        <a:xfrm>
          <a:off x="2092850" y="1019175"/>
          <a:ext cx="2005549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Operations - (20001)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923925</xdr:colOff>
          <xdr:row>1</xdr:row>
          <xdr:rowOff>47625</xdr:rowOff>
        </xdr:to>
        <xdr:sp macro="" textlink="">
          <xdr:nvSpPr>
            <xdr:cNvPr id="31745" name="Control 1" hidden="1">
              <a:extLst>
                <a:ext uri="{63B3BB69-23CF-44E3-9099-C40C66FF867C}">
                  <a14:compatExt spid="_x0000_s31745"/>
                </a:ext>
                <a:ext uri="{FF2B5EF4-FFF2-40B4-BE49-F238E27FC236}">
                  <a16:creationId xmlns:a16="http://schemas.microsoft.com/office/drawing/2014/main" id="{00000000-0008-0000-1100-000001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1543050</xdr:colOff>
          <xdr:row>1</xdr:row>
          <xdr:rowOff>47625</xdr:rowOff>
        </xdr:to>
        <xdr:sp macro="" textlink="">
          <xdr:nvSpPr>
            <xdr:cNvPr id="31746" name="Control 2" hidden="1">
              <a:extLst>
                <a:ext uri="{63B3BB69-23CF-44E3-9099-C40C66FF867C}">
                  <a14:compatExt spid="_x0000_s31746"/>
                </a:ext>
                <a:ext uri="{FF2B5EF4-FFF2-40B4-BE49-F238E27FC236}">
                  <a16:creationId xmlns:a16="http://schemas.microsoft.com/office/drawing/2014/main" id="{00000000-0008-0000-1100-000002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1</xdr:col>
          <xdr:colOff>2171700</xdr:colOff>
          <xdr:row>1</xdr:row>
          <xdr:rowOff>47625</xdr:rowOff>
        </xdr:to>
        <xdr:sp macro="" textlink="">
          <xdr:nvSpPr>
            <xdr:cNvPr id="31747" name="Control 3" hidden="1">
              <a:extLst>
                <a:ext uri="{63B3BB69-23CF-44E3-9099-C40C66FF867C}">
                  <a14:compatExt spid="_x0000_s31747"/>
                </a:ext>
                <a:ext uri="{FF2B5EF4-FFF2-40B4-BE49-F238E27FC236}">
                  <a16:creationId xmlns:a16="http://schemas.microsoft.com/office/drawing/2014/main" id="{00000000-0008-0000-1100-0000037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1645809</xdr:colOff>
      <xdr:row>1</xdr:row>
      <xdr:rowOff>66675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SpPr txBox="1">
          <a:spLocks noChangeArrowheads="1"/>
        </xdr:cNvSpPr>
      </xdr:nvSpPr>
      <xdr:spPr bwMode="auto">
        <a:xfrm>
          <a:off x="2169684" y="24765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1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76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1588391</xdr:colOff>
      <xdr:row>4</xdr:row>
      <xdr:rowOff>76200</xdr:rowOff>
    </xdr:from>
    <xdr:ext cx="2376292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1100-000004000000}"/>
            </a:ext>
          </a:extLst>
        </xdr:cNvPr>
        <xdr:cNvSpPr txBox="1">
          <a:spLocks noChangeArrowheads="1"/>
        </xdr:cNvSpPr>
      </xdr:nvSpPr>
      <xdr:spPr bwMode="auto">
        <a:xfrm>
          <a:off x="2112266" y="800100"/>
          <a:ext cx="2376292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Maintenance Dept - (20200)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923925</xdr:colOff>
          <xdr:row>1</xdr:row>
          <xdr:rowOff>47625</xdr:rowOff>
        </xdr:to>
        <xdr:sp macro="" textlink="">
          <xdr:nvSpPr>
            <xdr:cNvPr id="32769" name="Control 1" hidden="1">
              <a:extLst>
                <a:ext uri="{63B3BB69-23CF-44E3-9099-C40C66FF867C}">
                  <a14:compatExt spid="_x0000_s32769"/>
                </a:ext>
                <a:ext uri="{FF2B5EF4-FFF2-40B4-BE49-F238E27FC236}">
                  <a16:creationId xmlns:a16="http://schemas.microsoft.com/office/drawing/2014/main" id="{00000000-0008-0000-1200-000001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1543050</xdr:colOff>
          <xdr:row>1</xdr:row>
          <xdr:rowOff>47625</xdr:rowOff>
        </xdr:to>
        <xdr:sp macro="" textlink="">
          <xdr:nvSpPr>
            <xdr:cNvPr id="32770" name="Control 2" hidden="1">
              <a:extLst>
                <a:ext uri="{63B3BB69-23CF-44E3-9099-C40C66FF867C}">
                  <a14:compatExt spid="_x0000_s32770"/>
                </a:ext>
                <a:ext uri="{FF2B5EF4-FFF2-40B4-BE49-F238E27FC236}">
                  <a16:creationId xmlns:a16="http://schemas.microsoft.com/office/drawing/2014/main" id="{00000000-0008-0000-1200-000002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1</xdr:col>
          <xdr:colOff>2171700</xdr:colOff>
          <xdr:row>1</xdr:row>
          <xdr:rowOff>47625</xdr:rowOff>
        </xdr:to>
        <xdr:sp macro="" textlink="">
          <xdr:nvSpPr>
            <xdr:cNvPr id="32771" name="Control 3" hidden="1">
              <a:extLst>
                <a:ext uri="{63B3BB69-23CF-44E3-9099-C40C66FF867C}">
                  <a14:compatExt spid="_x0000_s32771"/>
                </a:ext>
                <a:ext uri="{FF2B5EF4-FFF2-40B4-BE49-F238E27FC236}">
                  <a16:creationId xmlns:a16="http://schemas.microsoft.com/office/drawing/2014/main" id="{00000000-0008-0000-1200-0000038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1807734</xdr:colOff>
      <xdr:row>2</xdr:row>
      <xdr:rowOff>133350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SpPr txBox="1">
          <a:spLocks noChangeArrowheads="1"/>
        </xdr:cNvSpPr>
      </xdr:nvSpPr>
      <xdr:spPr bwMode="auto">
        <a:xfrm>
          <a:off x="2331609" y="4953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1761568</xdr:colOff>
      <xdr:row>5</xdr:row>
      <xdr:rowOff>114300</xdr:rowOff>
    </xdr:from>
    <xdr:ext cx="2249014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1200-000004000000}"/>
            </a:ext>
          </a:extLst>
        </xdr:cNvPr>
        <xdr:cNvSpPr txBox="1">
          <a:spLocks noChangeArrowheads="1"/>
        </xdr:cNvSpPr>
      </xdr:nvSpPr>
      <xdr:spPr bwMode="auto">
        <a:xfrm>
          <a:off x="2285443" y="1019175"/>
          <a:ext cx="2249014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Project Delivery - (20511)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510020</xdr:colOff>
          <xdr:row>0</xdr:row>
          <xdr:rowOff>0</xdr:rowOff>
        </xdr:from>
        <xdr:to>
          <xdr:col>1</xdr:col>
          <xdr:colOff>1519670</xdr:colOff>
          <xdr:row>1</xdr:row>
          <xdr:rowOff>65809</xdr:rowOff>
        </xdr:to>
        <xdr:sp macro="" textlink="">
          <xdr:nvSpPr>
            <xdr:cNvPr id="33793" name="Control 1" hidden="1">
              <a:extLst>
                <a:ext uri="{63B3BB69-23CF-44E3-9099-C40C66FF867C}">
                  <a14:compatExt spid="_x0000_s33793"/>
                </a:ext>
                <a:ext uri="{FF2B5EF4-FFF2-40B4-BE49-F238E27FC236}">
                  <a16:creationId xmlns:a16="http://schemas.microsoft.com/office/drawing/2014/main" id="{00000000-0008-0000-1300-000001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586220</xdr:colOff>
          <xdr:row>0</xdr:row>
          <xdr:rowOff>0</xdr:rowOff>
        </xdr:from>
        <xdr:to>
          <xdr:col>1</xdr:col>
          <xdr:colOff>1595870</xdr:colOff>
          <xdr:row>1</xdr:row>
          <xdr:rowOff>65809</xdr:rowOff>
        </xdr:to>
        <xdr:sp macro="" textlink="">
          <xdr:nvSpPr>
            <xdr:cNvPr id="33794" name="Control 2" hidden="1">
              <a:extLst>
                <a:ext uri="{63B3BB69-23CF-44E3-9099-C40C66FF867C}">
                  <a14:compatExt spid="_x0000_s33794"/>
                </a:ext>
                <a:ext uri="{FF2B5EF4-FFF2-40B4-BE49-F238E27FC236}">
                  <a16:creationId xmlns:a16="http://schemas.microsoft.com/office/drawing/2014/main" id="{00000000-0008-0000-1300-000002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1233920</xdr:colOff>
          <xdr:row>0</xdr:row>
          <xdr:rowOff>0</xdr:rowOff>
        </xdr:from>
        <xdr:to>
          <xdr:col>2</xdr:col>
          <xdr:colOff>70139</xdr:colOff>
          <xdr:row>1</xdr:row>
          <xdr:rowOff>65809</xdr:rowOff>
        </xdr:to>
        <xdr:sp macro="" textlink="">
          <xdr:nvSpPr>
            <xdr:cNvPr id="33795" name="Control 3" hidden="1">
              <a:extLst>
                <a:ext uri="{63B3BB69-23CF-44E3-9099-C40C66FF867C}">
                  <a14:compatExt spid="_x0000_s33795"/>
                </a:ext>
                <a:ext uri="{FF2B5EF4-FFF2-40B4-BE49-F238E27FC236}">
                  <a16:creationId xmlns:a16="http://schemas.microsoft.com/office/drawing/2014/main" id="{00000000-0008-0000-1300-0000038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1417209</xdr:colOff>
      <xdr:row>1</xdr:row>
      <xdr:rowOff>142875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SpPr txBox="1">
          <a:spLocks noChangeArrowheads="1"/>
        </xdr:cNvSpPr>
      </xdr:nvSpPr>
      <xdr:spPr bwMode="auto">
        <a:xfrm>
          <a:off x="1941084" y="32385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76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1293002</xdr:colOff>
      <xdr:row>4</xdr:row>
      <xdr:rowOff>114300</xdr:rowOff>
    </xdr:from>
    <xdr:ext cx="2747995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SpPr txBox="1">
          <a:spLocks noChangeArrowheads="1"/>
        </xdr:cNvSpPr>
      </xdr:nvSpPr>
      <xdr:spPr bwMode="auto">
        <a:xfrm>
          <a:off x="1816877" y="838200"/>
          <a:ext cx="2747995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Public Affairs Department - (10400)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923925</xdr:colOff>
          <xdr:row>1</xdr:row>
          <xdr:rowOff>47625</xdr:rowOff>
        </xdr:to>
        <xdr:sp macro="" textlink="">
          <xdr:nvSpPr>
            <xdr:cNvPr id="34817" name="Control 1" hidden="1">
              <a:extLst>
                <a:ext uri="{63B3BB69-23CF-44E3-9099-C40C66FF867C}">
                  <a14:compatExt spid="_x0000_s34817"/>
                </a:ext>
                <a:ext uri="{FF2B5EF4-FFF2-40B4-BE49-F238E27FC236}">
                  <a16:creationId xmlns:a16="http://schemas.microsoft.com/office/drawing/2014/main" id="{00000000-0008-0000-1400-000001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1543050</xdr:colOff>
          <xdr:row>1</xdr:row>
          <xdr:rowOff>47625</xdr:rowOff>
        </xdr:to>
        <xdr:sp macro="" textlink="">
          <xdr:nvSpPr>
            <xdr:cNvPr id="34818" name="Control 2" hidden="1">
              <a:extLst>
                <a:ext uri="{63B3BB69-23CF-44E3-9099-C40C66FF867C}">
                  <a14:compatExt spid="_x0000_s34818"/>
                </a:ext>
                <a:ext uri="{FF2B5EF4-FFF2-40B4-BE49-F238E27FC236}">
                  <a16:creationId xmlns:a16="http://schemas.microsoft.com/office/drawing/2014/main" id="{00000000-0008-0000-1400-000002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1</xdr:col>
          <xdr:colOff>2171700</xdr:colOff>
          <xdr:row>1</xdr:row>
          <xdr:rowOff>47625</xdr:rowOff>
        </xdr:to>
        <xdr:sp macro="" textlink="">
          <xdr:nvSpPr>
            <xdr:cNvPr id="34819" name="Control 3" hidden="1">
              <a:extLst>
                <a:ext uri="{63B3BB69-23CF-44E3-9099-C40C66FF867C}">
                  <a14:compatExt spid="_x0000_s34819"/>
                </a:ext>
                <a:ext uri="{FF2B5EF4-FFF2-40B4-BE49-F238E27FC236}">
                  <a16:creationId xmlns:a16="http://schemas.microsoft.com/office/drawing/2014/main" id="{00000000-0008-0000-1400-0000038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1179084</xdr:colOff>
      <xdr:row>1</xdr:row>
      <xdr:rowOff>76200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SpPr txBox="1">
          <a:spLocks noChangeArrowheads="1"/>
        </xdr:cNvSpPr>
      </xdr:nvSpPr>
      <xdr:spPr bwMode="auto">
        <a:xfrm>
          <a:off x="1702959" y="25717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76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1120125</xdr:colOff>
      <xdr:row>4</xdr:row>
      <xdr:rowOff>114300</xdr:rowOff>
    </xdr:from>
    <xdr:ext cx="2931828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SpPr txBox="1">
          <a:spLocks noChangeArrowheads="1"/>
        </xdr:cNvSpPr>
      </xdr:nvSpPr>
      <xdr:spPr bwMode="auto">
        <a:xfrm>
          <a:off x="1644000" y="838200"/>
          <a:ext cx="2931828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Traffic &amp; Incident Mgmt. Dept. - (20600)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  <xdr:oneCellAnchor>
    <xdr:from>
      <xdr:col>1</xdr:col>
      <xdr:colOff>0</xdr:colOff>
      <xdr:row>8</xdr:row>
      <xdr:rowOff>0</xdr:rowOff>
    </xdr:from>
    <xdr:ext cx="9525" cy="9525"/>
    <xdr:pic>
      <xdr:nvPicPr>
        <xdr:cNvPr id="5" name="Picture 7" descr="../images/spacer.gif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</xdr:col>
          <xdr:colOff>205317</xdr:colOff>
          <xdr:row>1</xdr:row>
          <xdr:rowOff>50800</xdr:rowOff>
        </xdr:to>
        <xdr:sp macro="" textlink="">
          <xdr:nvSpPr>
            <xdr:cNvPr id="2049" name="Control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2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2391833</xdr:colOff>
          <xdr:row>0</xdr:row>
          <xdr:rowOff>0</xdr:rowOff>
        </xdr:from>
        <xdr:to>
          <xdr:col>3</xdr:col>
          <xdr:colOff>734483</xdr:colOff>
          <xdr:row>1</xdr:row>
          <xdr:rowOff>50800</xdr:rowOff>
        </xdr:to>
        <xdr:sp macro="" textlink="">
          <xdr:nvSpPr>
            <xdr:cNvPr id="2050" name="Control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2391833</xdr:colOff>
          <xdr:row>0</xdr:row>
          <xdr:rowOff>0</xdr:rowOff>
        </xdr:from>
        <xdr:to>
          <xdr:col>3</xdr:col>
          <xdr:colOff>734483</xdr:colOff>
          <xdr:row>1</xdr:row>
          <xdr:rowOff>50800</xdr:rowOff>
        </xdr:to>
        <xdr:sp macro="" textlink="">
          <xdr:nvSpPr>
            <xdr:cNvPr id="2051" name="Control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2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2</xdr:col>
      <xdr:colOff>0</xdr:colOff>
      <xdr:row>92</xdr:row>
      <xdr:rowOff>0</xdr:rowOff>
    </xdr:from>
    <xdr:ext cx="9525" cy="9525"/>
    <xdr:pic>
      <xdr:nvPicPr>
        <xdr:cNvPr id="5" name="Picture 6" descr="../images/spacer.gif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9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92</xdr:row>
      <xdr:rowOff>0</xdr:rowOff>
    </xdr:from>
    <xdr:ext cx="9525" cy="9525"/>
    <xdr:pic>
      <xdr:nvPicPr>
        <xdr:cNvPr id="6" name="Picture 6" descr="../images/spacer.gif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9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662289</xdr:colOff>
      <xdr:row>2</xdr:row>
      <xdr:rowOff>9525</xdr:rowOff>
    </xdr:from>
    <xdr:ext cx="1723421" cy="506742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>
          <a:spLocks noChangeArrowheads="1"/>
        </xdr:cNvSpPr>
      </xdr:nvSpPr>
      <xdr:spPr bwMode="auto">
        <a:xfrm>
          <a:off x="1824339" y="390525"/>
          <a:ext cx="1723421" cy="506742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All Funds Budget by Account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S Sans Serif"/>
            </a:rPr>
            <a:t>FY2026</a:t>
          </a:r>
        </a:p>
      </xdr:txBody>
    </xdr:sp>
    <xdr:clientData/>
  </xdr:oneCellAnchor>
  <xdr:oneCellAnchor>
    <xdr:from>
      <xdr:col>2</xdr:col>
      <xdr:colOff>0</xdr:colOff>
      <xdr:row>92</xdr:row>
      <xdr:rowOff>0</xdr:rowOff>
    </xdr:from>
    <xdr:ext cx="9525" cy="9525"/>
    <xdr:pic>
      <xdr:nvPicPr>
        <xdr:cNvPr id="8" name="Picture 6" descr="../images/spacer.gif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6954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96</xdr:row>
      <xdr:rowOff>0</xdr:rowOff>
    </xdr:from>
    <xdr:ext cx="9525" cy="9525"/>
    <xdr:pic>
      <xdr:nvPicPr>
        <xdr:cNvPr id="9" name="Picture 6" descr="../images/spacer.gif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71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96</xdr:row>
      <xdr:rowOff>0</xdr:rowOff>
    </xdr:from>
    <xdr:ext cx="9525" cy="9525"/>
    <xdr:pic>
      <xdr:nvPicPr>
        <xdr:cNvPr id="10" name="Picture 6" descr="../images/spacer.gif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200" y="17716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2</xdr:col>
          <xdr:colOff>304800</xdr:colOff>
          <xdr:row>1</xdr:row>
          <xdr:rowOff>66675</xdr:rowOff>
        </xdr:to>
        <xdr:sp macro="" textlink="">
          <xdr:nvSpPr>
            <xdr:cNvPr id="35841" name="Control 1" hidden="1">
              <a:extLst>
                <a:ext uri="{63B3BB69-23CF-44E3-9099-C40C66FF867C}">
                  <a14:compatExt spid="_x0000_s35841"/>
                </a:ext>
                <a:ext uri="{FF2B5EF4-FFF2-40B4-BE49-F238E27FC236}">
                  <a16:creationId xmlns:a16="http://schemas.microsoft.com/office/drawing/2014/main" id="{00000000-0008-0000-0400-000001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628650</xdr:colOff>
          <xdr:row>0</xdr:row>
          <xdr:rowOff>0</xdr:rowOff>
        </xdr:from>
        <xdr:to>
          <xdr:col>2</xdr:col>
          <xdr:colOff>1543050</xdr:colOff>
          <xdr:row>1</xdr:row>
          <xdr:rowOff>66675</xdr:rowOff>
        </xdr:to>
        <xdr:sp macro="" textlink="">
          <xdr:nvSpPr>
            <xdr:cNvPr id="35842" name="Control 2" hidden="1">
              <a:extLst>
                <a:ext uri="{63B3BB69-23CF-44E3-9099-C40C66FF867C}">
                  <a14:compatExt spid="_x0000_s35842"/>
                </a:ext>
                <a:ext uri="{FF2B5EF4-FFF2-40B4-BE49-F238E27FC236}">
                  <a16:creationId xmlns:a16="http://schemas.microsoft.com/office/drawing/2014/main" id="{00000000-0008-0000-0400-000002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1247775</xdr:colOff>
          <xdr:row>0</xdr:row>
          <xdr:rowOff>0</xdr:rowOff>
        </xdr:from>
        <xdr:to>
          <xdr:col>2</xdr:col>
          <xdr:colOff>2162175</xdr:colOff>
          <xdr:row>1</xdr:row>
          <xdr:rowOff>66675</xdr:rowOff>
        </xdr:to>
        <xdr:sp macro="" textlink="">
          <xdr:nvSpPr>
            <xdr:cNvPr id="35843" name="Control 3" hidden="1">
              <a:extLst>
                <a:ext uri="{63B3BB69-23CF-44E3-9099-C40C66FF867C}">
                  <a14:compatExt spid="_x0000_s35843"/>
                </a:ext>
                <a:ext uri="{FF2B5EF4-FFF2-40B4-BE49-F238E27FC236}">
                  <a16:creationId xmlns:a16="http://schemas.microsoft.com/office/drawing/2014/main" id="{00000000-0008-0000-0400-0000038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2</xdr:col>
      <xdr:colOff>0</xdr:colOff>
      <xdr:row>89</xdr:row>
      <xdr:rowOff>0</xdr:rowOff>
    </xdr:from>
    <xdr:ext cx="9525" cy="9525"/>
    <xdr:pic>
      <xdr:nvPicPr>
        <xdr:cNvPr id="2" name="Picture 6" descr="../images/spacer.gif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19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89</xdr:row>
      <xdr:rowOff>0</xdr:rowOff>
    </xdr:from>
    <xdr:ext cx="9525" cy="9525"/>
    <xdr:pic>
      <xdr:nvPicPr>
        <xdr:cNvPr id="3" name="Picture 6" descr="../images/spacer.gif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19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662289</xdr:colOff>
      <xdr:row>2</xdr:row>
      <xdr:rowOff>9525</xdr:rowOff>
    </xdr:from>
    <xdr:ext cx="1723421" cy="506742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 txBox="1">
          <a:spLocks noChangeArrowheads="1"/>
        </xdr:cNvSpPr>
      </xdr:nvSpPr>
      <xdr:spPr bwMode="auto">
        <a:xfrm>
          <a:off x="1271889" y="333375"/>
          <a:ext cx="1723421" cy="506742"/>
        </a:xfrm>
        <a:prstGeom prst="rect">
          <a:avLst/>
        </a:prstGeom>
        <a:noFill/>
        <a:ln>
          <a:noFill/>
        </a:ln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All Funds Budget by Account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S Sans Serif"/>
            </a:rPr>
            <a:t>FY2023</a:t>
          </a:r>
        </a:p>
      </xdr:txBody>
    </xdr:sp>
    <xdr:clientData/>
  </xdr:oneCellAnchor>
  <xdr:oneCellAnchor>
    <xdr:from>
      <xdr:col>2</xdr:col>
      <xdr:colOff>0</xdr:colOff>
      <xdr:row>89</xdr:row>
      <xdr:rowOff>0</xdr:rowOff>
    </xdr:from>
    <xdr:ext cx="9525" cy="9525"/>
    <xdr:pic>
      <xdr:nvPicPr>
        <xdr:cNvPr id="5" name="Picture 6" descr="../images/spacer.gif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1921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9525" cy="9525"/>
    <xdr:pic>
      <xdr:nvPicPr>
        <xdr:cNvPr id="6" name="Picture 6" descr="../images/spacer.gif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06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2</xdr:col>
      <xdr:colOff>0</xdr:colOff>
      <xdr:row>93</xdr:row>
      <xdr:rowOff>0</xdr:rowOff>
    </xdr:from>
    <xdr:ext cx="9525" cy="9525"/>
    <xdr:pic>
      <xdr:nvPicPr>
        <xdr:cNvPr id="7" name="Picture 6" descr="../images/spacer.gif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133064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510020</xdr:colOff>
          <xdr:row>0</xdr:row>
          <xdr:rowOff>0</xdr:rowOff>
        </xdr:from>
        <xdr:to>
          <xdr:col>1</xdr:col>
          <xdr:colOff>1519670</xdr:colOff>
          <xdr:row>1</xdr:row>
          <xdr:rowOff>65809</xdr:rowOff>
        </xdr:to>
        <xdr:sp macro="" textlink="">
          <xdr:nvSpPr>
            <xdr:cNvPr id="19457" name="Control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5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586220</xdr:colOff>
          <xdr:row>0</xdr:row>
          <xdr:rowOff>0</xdr:rowOff>
        </xdr:from>
        <xdr:to>
          <xdr:col>1</xdr:col>
          <xdr:colOff>1595870</xdr:colOff>
          <xdr:row>1</xdr:row>
          <xdr:rowOff>65809</xdr:rowOff>
        </xdr:to>
        <xdr:sp macro="" textlink="">
          <xdr:nvSpPr>
            <xdr:cNvPr id="19458" name="Control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5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1233920</xdr:colOff>
          <xdr:row>0</xdr:row>
          <xdr:rowOff>0</xdr:rowOff>
        </xdr:from>
        <xdr:to>
          <xdr:col>1</xdr:col>
          <xdr:colOff>2243570</xdr:colOff>
          <xdr:row>1</xdr:row>
          <xdr:rowOff>65809</xdr:rowOff>
        </xdr:to>
        <xdr:sp macro="" textlink="">
          <xdr:nvSpPr>
            <xdr:cNvPr id="19459" name="Control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5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1588659</xdr:colOff>
      <xdr:row>1</xdr:row>
      <xdr:rowOff>28575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2112534" y="20955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oneCellAnchor>
    <xdr:from>
      <xdr:col>1</xdr:col>
      <xdr:colOff>1589753</xdr:colOff>
      <xdr:row>3</xdr:row>
      <xdr:rowOff>171450</xdr:rowOff>
    </xdr:from>
    <xdr:ext cx="2173544" cy="363818"/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2113628" y="714375"/>
          <a:ext cx="2173544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Administration - (10011)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  <xdr:twoCellAnchor editAs="oneCell">
    <xdr:from>
      <xdr:col>1</xdr:col>
      <xdr:colOff>0</xdr:colOff>
      <xdr:row>6</xdr:row>
      <xdr:rowOff>0</xdr:rowOff>
    </xdr:from>
    <xdr:to>
      <xdr:col>1</xdr:col>
      <xdr:colOff>9525</xdr:colOff>
      <xdr:row>6</xdr:row>
      <xdr:rowOff>9525</xdr:rowOff>
    </xdr:to>
    <xdr:pic>
      <xdr:nvPicPr>
        <xdr:cNvPr id="4" name="Picture 7" descr="../images/spacer.gif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0858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923925</xdr:colOff>
          <xdr:row>1</xdr:row>
          <xdr:rowOff>47625</xdr:rowOff>
        </xdr:to>
        <xdr:sp macro="" textlink="">
          <xdr:nvSpPr>
            <xdr:cNvPr id="20481" name="Control 1" hidden="1">
              <a:extLst>
                <a:ext uri="{63B3BB69-23CF-44E3-9099-C40C66FF867C}">
                  <a14:compatExt spid="_x0000_s20481"/>
                </a:ext>
                <a:ext uri="{FF2B5EF4-FFF2-40B4-BE49-F238E27FC236}">
                  <a16:creationId xmlns:a16="http://schemas.microsoft.com/office/drawing/2014/main" id="{00000000-0008-0000-0600-000001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1543050</xdr:colOff>
          <xdr:row>1</xdr:row>
          <xdr:rowOff>47625</xdr:rowOff>
        </xdr:to>
        <xdr:sp macro="" textlink="">
          <xdr:nvSpPr>
            <xdr:cNvPr id="20482" name="Control 2" hidden="1">
              <a:extLst>
                <a:ext uri="{63B3BB69-23CF-44E3-9099-C40C66FF867C}">
                  <a14:compatExt spid="_x0000_s20482"/>
                </a:ext>
                <a:ext uri="{FF2B5EF4-FFF2-40B4-BE49-F238E27FC236}">
                  <a16:creationId xmlns:a16="http://schemas.microsoft.com/office/drawing/2014/main" id="{00000000-0008-0000-0600-000002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1</xdr:col>
          <xdr:colOff>2171700</xdr:colOff>
          <xdr:row>1</xdr:row>
          <xdr:rowOff>47625</xdr:rowOff>
        </xdr:to>
        <xdr:sp macro="" textlink="">
          <xdr:nvSpPr>
            <xdr:cNvPr id="20483" name="Control 3" hidden="1">
              <a:extLst>
                <a:ext uri="{63B3BB69-23CF-44E3-9099-C40C66FF867C}">
                  <a14:compatExt spid="_x0000_s20483"/>
                </a:ext>
                <a:ext uri="{FF2B5EF4-FFF2-40B4-BE49-F238E27FC236}">
                  <a16:creationId xmlns:a16="http://schemas.microsoft.com/office/drawing/2014/main" id="{00000000-0008-0000-0600-0000035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1779159</xdr:colOff>
      <xdr:row>1</xdr:row>
      <xdr:rowOff>133350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2303034" y="314325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668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1892831</xdr:colOff>
      <xdr:row>5</xdr:row>
      <xdr:rowOff>57150</xdr:rowOff>
    </xdr:from>
    <xdr:ext cx="1748363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 bwMode="auto">
        <a:xfrm>
          <a:off x="2416706" y="962025"/>
          <a:ext cx="1748363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Board - (10111)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561975</xdr:colOff>
          <xdr:row>0</xdr:row>
          <xdr:rowOff>0</xdr:rowOff>
        </xdr:from>
        <xdr:to>
          <xdr:col>1</xdr:col>
          <xdr:colOff>1476375</xdr:colOff>
          <xdr:row>1</xdr:row>
          <xdr:rowOff>47625</xdr:rowOff>
        </xdr:to>
        <xdr:sp macro="" textlink="">
          <xdr:nvSpPr>
            <xdr:cNvPr id="21505" name="Control 1" hidden="1">
              <a:extLst>
                <a:ext uri="{63B3BB69-23CF-44E3-9099-C40C66FF867C}">
                  <a14:compatExt spid="_x0000_s21505"/>
                </a:ext>
                <a:ext uri="{FF2B5EF4-FFF2-40B4-BE49-F238E27FC236}">
                  <a16:creationId xmlns:a16="http://schemas.microsoft.com/office/drawing/2014/main" id="{00000000-0008-0000-0700-000001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0</xdr:row>
          <xdr:rowOff>0</xdr:rowOff>
        </xdr:from>
        <xdr:to>
          <xdr:col>1</xdr:col>
          <xdr:colOff>1533525</xdr:colOff>
          <xdr:row>1</xdr:row>
          <xdr:rowOff>47625</xdr:rowOff>
        </xdr:to>
        <xdr:sp macro="" textlink="">
          <xdr:nvSpPr>
            <xdr:cNvPr id="21506" name="Control 2" hidden="1">
              <a:extLst>
                <a:ext uri="{63B3BB69-23CF-44E3-9099-C40C66FF867C}">
                  <a14:compatExt spid="_x0000_s21506"/>
                </a:ext>
                <a:ext uri="{FF2B5EF4-FFF2-40B4-BE49-F238E27FC236}">
                  <a16:creationId xmlns:a16="http://schemas.microsoft.com/office/drawing/2014/main" id="{00000000-0008-0000-0700-000002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1247775</xdr:colOff>
          <xdr:row>0</xdr:row>
          <xdr:rowOff>0</xdr:rowOff>
        </xdr:from>
        <xdr:to>
          <xdr:col>2</xdr:col>
          <xdr:colOff>0</xdr:colOff>
          <xdr:row>1</xdr:row>
          <xdr:rowOff>47625</xdr:rowOff>
        </xdr:to>
        <xdr:sp macro="" textlink="">
          <xdr:nvSpPr>
            <xdr:cNvPr id="21507" name="Control 3" hidden="1">
              <a:extLst>
                <a:ext uri="{63B3BB69-23CF-44E3-9099-C40C66FF867C}">
                  <a14:compatExt spid="_x0000_s21507"/>
                </a:ext>
                <a:ext uri="{FF2B5EF4-FFF2-40B4-BE49-F238E27FC236}">
                  <a16:creationId xmlns:a16="http://schemas.microsoft.com/office/drawing/2014/main" id="{00000000-0008-0000-0700-0000035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1722009</xdr:colOff>
      <xdr:row>2</xdr:row>
      <xdr:rowOff>19050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2255409" y="3810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10</xdr:row>
      <xdr:rowOff>0</xdr:rowOff>
    </xdr:from>
    <xdr:to>
      <xdr:col>1</xdr:col>
      <xdr:colOff>9525</xdr:colOff>
      <xdr:row>10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838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1718106</xdr:colOff>
      <xdr:row>5</xdr:row>
      <xdr:rowOff>38100</xdr:rowOff>
    </xdr:from>
    <xdr:ext cx="2012089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 bwMode="auto">
        <a:xfrm>
          <a:off x="2251506" y="942975"/>
          <a:ext cx="2012089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Accounting - (10511)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  <xdr:twoCellAnchor editAs="oneCell">
    <xdr:from>
      <xdr:col>1</xdr:col>
      <xdr:colOff>0</xdr:colOff>
      <xdr:row>9</xdr:row>
      <xdr:rowOff>0</xdr:rowOff>
    </xdr:from>
    <xdr:to>
      <xdr:col>1</xdr:col>
      <xdr:colOff>9525</xdr:colOff>
      <xdr:row>9</xdr:row>
      <xdr:rowOff>9525</xdr:rowOff>
    </xdr:to>
    <xdr:pic>
      <xdr:nvPicPr>
        <xdr:cNvPr id="5" name="Picture 7" descr="../images/spacer.gif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3400" y="1524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1104900</xdr:colOff>
          <xdr:row>1</xdr:row>
          <xdr:rowOff>93662</xdr:rowOff>
        </xdr:to>
        <xdr:sp macro="" textlink="">
          <xdr:nvSpPr>
            <xdr:cNvPr id="22529" name="Control 1" hidden="1">
              <a:extLst>
                <a:ext uri="{63B3BB69-23CF-44E3-9099-C40C66FF867C}">
                  <a14:compatExt spid="_x0000_s22529"/>
                </a:ext>
                <a:ext uri="{FF2B5EF4-FFF2-40B4-BE49-F238E27FC236}">
                  <a16:creationId xmlns:a16="http://schemas.microsoft.com/office/drawing/2014/main" id="{00000000-0008-0000-0800-000001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1724025</xdr:colOff>
          <xdr:row>1</xdr:row>
          <xdr:rowOff>93662</xdr:rowOff>
        </xdr:to>
        <xdr:sp macro="" textlink="">
          <xdr:nvSpPr>
            <xdr:cNvPr id="22530" name="Control 2" hidden="1">
              <a:extLst>
                <a:ext uri="{63B3BB69-23CF-44E3-9099-C40C66FF867C}">
                  <a14:compatExt spid="_x0000_s22530"/>
                </a:ext>
                <a:ext uri="{FF2B5EF4-FFF2-40B4-BE49-F238E27FC236}">
                  <a16:creationId xmlns:a16="http://schemas.microsoft.com/office/drawing/2014/main" id="{00000000-0008-0000-0800-000002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2</xdr:col>
          <xdr:colOff>193675</xdr:colOff>
          <xdr:row>1</xdr:row>
          <xdr:rowOff>93662</xdr:rowOff>
        </xdr:to>
        <xdr:sp macro="" textlink="">
          <xdr:nvSpPr>
            <xdr:cNvPr id="22531" name="Control 3" hidden="1">
              <a:extLst>
                <a:ext uri="{63B3BB69-23CF-44E3-9099-C40C66FF867C}">
                  <a14:compatExt spid="_x0000_s22531"/>
                </a:ext>
                <a:ext uri="{FF2B5EF4-FFF2-40B4-BE49-F238E27FC236}">
                  <a16:creationId xmlns:a16="http://schemas.microsoft.com/office/drawing/2014/main" id="{00000000-0008-0000-0800-0000035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1722009</xdr:colOff>
      <xdr:row>2</xdr:row>
      <xdr:rowOff>19050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2245884" y="3810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8</xdr:row>
      <xdr:rowOff>0</xdr:rowOff>
    </xdr:from>
    <xdr:to>
      <xdr:col>1</xdr:col>
      <xdr:colOff>9525</xdr:colOff>
      <xdr:row>8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457325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757009</xdr:colOff>
      <xdr:row>5</xdr:row>
      <xdr:rowOff>38100</xdr:rowOff>
    </xdr:from>
    <xdr:ext cx="3934283" cy="35355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 bwMode="auto">
        <a:xfrm>
          <a:off x="1280884" y="942975"/>
          <a:ext cx="3934283" cy="35355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  Procurement and Business Diversity - (10521 and 10522)</a:t>
          </a: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540327</xdr:colOff>
          <xdr:row>0</xdr:row>
          <xdr:rowOff>0</xdr:rowOff>
        </xdr:from>
        <xdr:to>
          <xdr:col>1</xdr:col>
          <xdr:colOff>1549977</xdr:colOff>
          <xdr:row>1</xdr:row>
          <xdr:rowOff>65809</xdr:rowOff>
        </xdr:to>
        <xdr:sp macro="" textlink="">
          <xdr:nvSpPr>
            <xdr:cNvPr id="23553" name="Control 1" hidden="1">
              <a:extLst>
                <a:ext uri="{63B3BB69-23CF-44E3-9099-C40C66FF867C}">
                  <a14:compatExt spid="_x0000_s23553"/>
                </a:ext>
                <a:ext uri="{FF2B5EF4-FFF2-40B4-BE49-F238E27FC236}">
                  <a16:creationId xmlns:a16="http://schemas.microsoft.com/office/drawing/2014/main" id="{00000000-0008-0000-0900-000001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616527</xdr:colOff>
          <xdr:row>0</xdr:row>
          <xdr:rowOff>0</xdr:rowOff>
        </xdr:from>
        <xdr:to>
          <xdr:col>1</xdr:col>
          <xdr:colOff>1626177</xdr:colOff>
          <xdr:row>1</xdr:row>
          <xdr:rowOff>65809</xdr:rowOff>
        </xdr:to>
        <xdr:sp macro="" textlink="">
          <xdr:nvSpPr>
            <xdr:cNvPr id="23554" name="Control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9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1245177</xdr:colOff>
          <xdr:row>0</xdr:row>
          <xdr:rowOff>0</xdr:rowOff>
        </xdr:from>
        <xdr:to>
          <xdr:col>2</xdr:col>
          <xdr:colOff>90055</xdr:colOff>
          <xdr:row>1</xdr:row>
          <xdr:rowOff>65809</xdr:rowOff>
        </xdr:to>
        <xdr:sp macro="" textlink="">
          <xdr:nvSpPr>
            <xdr:cNvPr id="23555" name="Control 3" hidden="1">
              <a:extLst>
                <a:ext uri="{63B3BB69-23CF-44E3-9099-C40C66FF867C}">
                  <a14:compatExt spid="_x0000_s23555"/>
                </a:ext>
                <a:ext uri="{FF2B5EF4-FFF2-40B4-BE49-F238E27FC236}">
                  <a16:creationId xmlns:a16="http://schemas.microsoft.com/office/drawing/2014/main" id="{00000000-0008-0000-0900-000003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1722009</xdr:colOff>
      <xdr:row>2</xdr:row>
      <xdr:rowOff>19050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2264934" y="3810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0</xdr:col>
      <xdr:colOff>123825</xdr:colOff>
      <xdr:row>16</xdr:row>
      <xdr:rowOff>161925</xdr:rowOff>
    </xdr:from>
    <xdr:to>
      <xdr:col>0</xdr:col>
      <xdr:colOff>133350</xdr:colOff>
      <xdr:row>16</xdr:row>
      <xdr:rowOff>171450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32004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1233940</xdr:colOff>
      <xdr:row>5</xdr:row>
      <xdr:rowOff>38100</xdr:rowOff>
    </xdr:from>
    <xdr:ext cx="2980431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SpPr txBox="1">
          <a:spLocks noChangeArrowheads="1"/>
        </xdr:cNvSpPr>
      </xdr:nvSpPr>
      <xdr:spPr bwMode="auto">
        <a:xfrm>
          <a:off x="1776865" y="942975"/>
          <a:ext cx="2980431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Treasury &amp; Financial Planning - (10531)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0</xdr:row>
          <xdr:rowOff>0</xdr:rowOff>
        </xdr:from>
        <xdr:to>
          <xdr:col>1</xdr:col>
          <xdr:colOff>923925</xdr:colOff>
          <xdr:row>1</xdr:row>
          <xdr:rowOff>47625</xdr:rowOff>
        </xdr:to>
        <xdr:sp macro="" textlink="">
          <xdr:nvSpPr>
            <xdr:cNvPr id="24577" name="Control 1" hidden="1">
              <a:extLst>
                <a:ext uri="{63B3BB69-23CF-44E3-9099-C40C66FF867C}">
                  <a14:compatExt spid="_x0000_s24577"/>
                </a:ext>
                <a:ext uri="{FF2B5EF4-FFF2-40B4-BE49-F238E27FC236}">
                  <a16:creationId xmlns:a16="http://schemas.microsoft.com/office/drawing/2014/main" id="{00000000-0008-0000-0A00-000001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628650</xdr:colOff>
          <xdr:row>0</xdr:row>
          <xdr:rowOff>0</xdr:rowOff>
        </xdr:from>
        <xdr:to>
          <xdr:col>1</xdr:col>
          <xdr:colOff>1543050</xdr:colOff>
          <xdr:row>1</xdr:row>
          <xdr:rowOff>47625</xdr:rowOff>
        </xdr:to>
        <xdr:sp macro="" textlink="">
          <xdr:nvSpPr>
            <xdr:cNvPr id="24578" name="Control 2" hidden="1">
              <a:extLst>
                <a:ext uri="{63B3BB69-23CF-44E3-9099-C40C66FF867C}">
                  <a14:compatExt spid="_x0000_s24578"/>
                </a:ext>
                <a:ext uri="{FF2B5EF4-FFF2-40B4-BE49-F238E27FC236}">
                  <a16:creationId xmlns:a16="http://schemas.microsoft.com/office/drawing/2014/main" id="{00000000-0008-0000-0A00-000002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1257300</xdr:colOff>
          <xdr:row>0</xdr:row>
          <xdr:rowOff>0</xdr:rowOff>
        </xdr:from>
        <xdr:to>
          <xdr:col>1</xdr:col>
          <xdr:colOff>2171700</xdr:colOff>
          <xdr:row>1</xdr:row>
          <xdr:rowOff>47625</xdr:rowOff>
        </xdr:to>
        <xdr:sp macro="" textlink="">
          <xdr:nvSpPr>
            <xdr:cNvPr id="24579" name="Control 3" hidden="1">
              <a:extLst>
                <a:ext uri="{63B3BB69-23CF-44E3-9099-C40C66FF867C}">
                  <a14:compatExt spid="_x0000_s24579"/>
                </a:ext>
                <a:ext uri="{FF2B5EF4-FFF2-40B4-BE49-F238E27FC236}">
                  <a16:creationId xmlns:a16="http://schemas.microsoft.com/office/drawing/2014/main" id="{00000000-0008-0000-0A00-0000036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oneCellAnchor>
    <xdr:from>
      <xdr:col>1</xdr:col>
      <xdr:colOff>1521984</xdr:colOff>
      <xdr:row>1</xdr:row>
      <xdr:rowOff>85725</xdr:rowOff>
    </xdr:from>
    <xdr:ext cx="2051908" cy="554254"/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 bwMode="auto">
        <a:xfrm>
          <a:off x="2045859" y="266700"/>
          <a:ext cx="2051908" cy="554254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"/>
            </a:rPr>
            <a:t>North Texas Tollway Authority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Departmental Budget Summary</a:t>
          </a:r>
          <a:endParaRPr lang="en-US" sz="1000" b="0" i="0" u="none" strike="noStrike" baseline="0">
            <a:solidFill>
              <a:srgbClr val="000000"/>
            </a:solidFill>
            <a:latin typeface="Calibri"/>
          </a:endParaRPr>
        </a:p>
        <a:p>
          <a:pPr algn="ctr" rtl="0"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rebuchet MS"/>
            </a:rPr>
            <a:t>Summary of Funds</a:t>
          </a:r>
        </a:p>
      </xdr:txBody>
    </xdr:sp>
    <xdr:clientData/>
  </xdr:oneCellAnchor>
  <xdr:twoCellAnchor editAs="oneCell">
    <xdr:from>
      <xdr:col>1</xdr:col>
      <xdr:colOff>0</xdr:colOff>
      <xdr:row>7</xdr:row>
      <xdr:rowOff>0</xdr:rowOff>
    </xdr:from>
    <xdr:to>
      <xdr:col>1</xdr:col>
      <xdr:colOff>9525</xdr:colOff>
      <xdr:row>7</xdr:row>
      <xdr:rowOff>9525</xdr:rowOff>
    </xdr:to>
    <xdr:pic>
      <xdr:nvPicPr>
        <xdr:cNvPr id="3" name="Picture 7" descr="../images/spacer.gif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3875" y="127635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1</xdr:col>
      <xdr:colOff>1347590</xdr:colOff>
      <xdr:row>4</xdr:row>
      <xdr:rowOff>57150</xdr:rowOff>
    </xdr:from>
    <xdr:ext cx="2286395" cy="363818"/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 bwMode="auto">
        <a:xfrm>
          <a:off x="1871465" y="781050"/>
          <a:ext cx="2286395" cy="363818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wrap="none" lIns="91440" tIns="45720" rIns="91440" bIns="45720" anchor="t" upright="1">
          <a:spAutoFit/>
        </a:bodyPr>
        <a:lstStyle/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Department: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Shared Services - (10571)</a:t>
          </a:r>
          <a:endParaRPr lang="en-US" sz="1000" b="0" i="0" u="none" strike="noStrike" baseline="0">
            <a:solidFill>
              <a:srgbClr val="000000"/>
            </a:solidFill>
            <a:latin typeface="Calibri"/>
            <a:cs typeface="Microsoft Sans Serif"/>
          </a:endParaRPr>
        </a:p>
        <a:p>
          <a:pPr algn="ctr" rtl="0">
            <a:defRPr sz="1000"/>
          </a:pPr>
          <a:r>
            <a:rPr lang="en-US" sz="900" b="1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Budget Year:</a:t>
          </a:r>
          <a:r>
            <a:rPr lang="en-US" sz="900" b="0" i="0" u="none" strike="noStrike" baseline="0">
              <a:solidFill>
                <a:srgbClr val="000000"/>
              </a:solidFill>
              <a:latin typeface="Microsoft Sans Serif"/>
              <a:cs typeface="Microsoft Sans Serif"/>
            </a:rPr>
            <a:t>    FY2024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Flow">
      <a:dk1>
        <a:sysClr val="windowText" lastClr="000000"/>
      </a:dk1>
      <a:lt1>
        <a:sysClr val="window" lastClr="FFFFFF"/>
      </a:lt1>
      <a:dk2>
        <a:srgbClr val="04617B"/>
      </a:dk2>
      <a:lt2>
        <a:srgbClr val="DBF5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4.xml"/><Relationship Id="rId3" Type="http://schemas.openxmlformats.org/officeDocument/2006/relationships/vmlDrawing" Target="../drawings/vmlDrawing8.vml"/><Relationship Id="rId7" Type="http://schemas.openxmlformats.org/officeDocument/2006/relationships/image" Target="../media/image21.emf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ontrol" Target="../activeX/activeX23.xml"/><Relationship Id="rId5" Type="http://schemas.openxmlformats.org/officeDocument/2006/relationships/image" Target="../media/image10.emf"/><Relationship Id="rId4" Type="http://schemas.openxmlformats.org/officeDocument/2006/relationships/control" Target="../activeX/activeX22.xml"/><Relationship Id="rId9" Type="http://schemas.openxmlformats.org/officeDocument/2006/relationships/image" Target="../media/image22.emf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7.xml"/><Relationship Id="rId3" Type="http://schemas.openxmlformats.org/officeDocument/2006/relationships/vmlDrawing" Target="../drawings/vmlDrawing9.vml"/><Relationship Id="rId7" Type="http://schemas.openxmlformats.org/officeDocument/2006/relationships/image" Target="../media/image23.emf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Relationship Id="rId6" Type="http://schemas.openxmlformats.org/officeDocument/2006/relationships/control" Target="../activeX/activeX26.xml"/><Relationship Id="rId5" Type="http://schemas.openxmlformats.org/officeDocument/2006/relationships/image" Target="../media/image7.emf"/><Relationship Id="rId4" Type="http://schemas.openxmlformats.org/officeDocument/2006/relationships/control" Target="../activeX/activeX25.xml"/><Relationship Id="rId9" Type="http://schemas.openxmlformats.org/officeDocument/2006/relationships/image" Target="../media/image24.emf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0.xml"/><Relationship Id="rId3" Type="http://schemas.openxmlformats.org/officeDocument/2006/relationships/vmlDrawing" Target="../drawings/vmlDrawing10.vml"/><Relationship Id="rId7" Type="http://schemas.openxmlformats.org/officeDocument/2006/relationships/image" Target="../media/image26.emf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Relationship Id="rId6" Type="http://schemas.openxmlformats.org/officeDocument/2006/relationships/control" Target="../activeX/activeX29.xml"/><Relationship Id="rId5" Type="http://schemas.openxmlformats.org/officeDocument/2006/relationships/image" Target="../media/image25.emf"/><Relationship Id="rId4" Type="http://schemas.openxmlformats.org/officeDocument/2006/relationships/control" Target="../activeX/activeX28.xml"/><Relationship Id="rId9" Type="http://schemas.openxmlformats.org/officeDocument/2006/relationships/image" Target="../media/image27.emf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3.xml"/><Relationship Id="rId3" Type="http://schemas.openxmlformats.org/officeDocument/2006/relationships/vmlDrawing" Target="../drawings/vmlDrawing11.vml"/><Relationship Id="rId7" Type="http://schemas.openxmlformats.org/officeDocument/2006/relationships/image" Target="../media/image28.emf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6" Type="http://schemas.openxmlformats.org/officeDocument/2006/relationships/control" Target="../activeX/activeX32.xml"/><Relationship Id="rId5" Type="http://schemas.openxmlformats.org/officeDocument/2006/relationships/image" Target="../media/image16.emf"/><Relationship Id="rId4" Type="http://schemas.openxmlformats.org/officeDocument/2006/relationships/control" Target="../activeX/activeX31.xml"/><Relationship Id="rId9" Type="http://schemas.openxmlformats.org/officeDocument/2006/relationships/image" Target="../media/image29.emf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6.xml"/><Relationship Id="rId3" Type="http://schemas.openxmlformats.org/officeDocument/2006/relationships/vmlDrawing" Target="../drawings/vmlDrawing12.vml"/><Relationship Id="rId7" Type="http://schemas.openxmlformats.org/officeDocument/2006/relationships/image" Target="../media/image23.emf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6" Type="http://schemas.openxmlformats.org/officeDocument/2006/relationships/control" Target="../activeX/activeX35.xml"/><Relationship Id="rId5" Type="http://schemas.openxmlformats.org/officeDocument/2006/relationships/image" Target="../media/image7.emf"/><Relationship Id="rId4" Type="http://schemas.openxmlformats.org/officeDocument/2006/relationships/control" Target="../activeX/activeX34.xml"/><Relationship Id="rId9" Type="http://schemas.openxmlformats.org/officeDocument/2006/relationships/image" Target="../media/image20.emf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9.xml"/><Relationship Id="rId3" Type="http://schemas.openxmlformats.org/officeDocument/2006/relationships/vmlDrawing" Target="../drawings/vmlDrawing13.vml"/><Relationship Id="rId7" Type="http://schemas.openxmlformats.org/officeDocument/2006/relationships/image" Target="../media/image23.emf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6" Type="http://schemas.openxmlformats.org/officeDocument/2006/relationships/control" Target="../activeX/activeX38.xml"/><Relationship Id="rId5" Type="http://schemas.openxmlformats.org/officeDocument/2006/relationships/image" Target="../media/image7.emf"/><Relationship Id="rId4" Type="http://schemas.openxmlformats.org/officeDocument/2006/relationships/control" Target="../activeX/activeX37.xml"/><Relationship Id="rId9" Type="http://schemas.openxmlformats.org/officeDocument/2006/relationships/image" Target="../media/image9.emf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2.xml"/><Relationship Id="rId3" Type="http://schemas.openxmlformats.org/officeDocument/2006/relationships/vmlDrawing" Target="../drawings/vmlDrawing14.vml"/><Relationship Id="rId7" Type="http://schemas.openxmlformats.org/officeDocument/2006/relationships/image" Target="../media/image8.emf"/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Relationship Id="rId6" Type="http://schemas.openxmlformats.org/officeDocument/2006/relationships/control" Target="../activeX/activeX41.xml"/><Relationship Id="rId5" Type="http://schemas.openxmlformats.org/officeDocument/2006/relationships/image" Target="../media/image30.emf"/><Relationship Id="rId4" Type="http://schemas.openxmlformats.org/officeDocument/2006/relationships/control" Target="../activeX/activeX40.xml"/><Relationship Id="rId9" Type="http://schemas.openxmlformats.org/officeDocument/2006/relationships/image" Target="../media/image20.emf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5.xml"/><Relationship Id="rId3" Type="http://schemas.openxmlformats.org/officeDocument/2006/relationships/vmlDrawing" Target="../drawings/vmlDrawing15.vml"/><Relationship Id="rId7" Type="http://schemas.openxmlformats.org/officeDocument/2006/relationships/image" Target="../media/image21.emf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6" Type="http://schemas.openxmlformats.org/officeDocument/2006/relationships/control" Target="../activeX/activeX44.xml"/><Relationship Id="rId5" Type="http://schemas.openxmlformats.org/officeDocument/2006/relationships/image" Target="../media/image10.emf"/><Relationship Id="rId4" Type="http://schemas.openxmlformats.org/officeDocument/2006/relationships/control" Target="../activeX/activeX43.xml"/><Relationship Id="rId9" Type="http://schemas.openxmlformats.org/officeDocument/2006/relationships/image" Target="../media/image31.emf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48.xml"/><Relationship Id="rId3" Type="http://schemas.openxmlformats.org/officeDocument/2006/relationships/vmlDrawing" Target="../drawings/vmlDrawing16.vml"/><Relationship Id="rId7" Type="http://schemas.openxmlformats.org/officeDocument/2006/relationships/image" Target="../media/image33.emf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6" Type="http://schemas.openxmlformats.org/officeDocument/2006/relationships/control" Target="../activeX/activeX47.xml"/><Relationship Id="rId5" Type="http://schemas.openxmlformats.org/officeDocument/2006/relationships/image" Target="../media/image32.emf"/><Relationship Id="rId4" Type="http://schemas.openxmlformats.org/officeDocument/2006/relationships/control" Target="../activeX/activeX46.xml"/><Relationship Id="rId9" Type="http://schemas.openxmlformats.org/officeDocument/2006/relationships/image" Target="../media/image15.emf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1.xml"/><Relationship Id="rId3" Type="http://schemas.openxmlformats.org/officeDocument/2006/relationships/vmlDrawing" Target="../drawings/vmlDrawing17.vml"/><Relationship Id="rId7" Type="http://schemas.openxmlformats.org/officeDocument/2006/relationships/image" Target="../media/image35.emf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6" Type="http://schemas.openxmlformats.org/officeDocument/2006/relationships/control" Target="../activeX/activeX50.xml"/><Relationship Id="rId5" Type="http://schemas.openxmlformats.org/officeDocument/2006/relationships/image" Target="../media/image34.emf"/><Relationship Id="rId4" Type="http://schemas.openxmlformats.org/officeDocument/2006/relationships/control" Target="../activeX/activeX49.xml"/><Relationship Id="rId9" Type="http://schemas.openxmlformats.org/officeDocument/2006/relationships/image" Target="../media/image36.emf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4.xml"/><Relationship Id="rId3" Type="http://schemas.openxmlformats.org/officeDocument/2006/relationships/vmlDrawing" Target="../drawings/vmlDrawing18.vml"/><Relationship Id="rId7" Type="http://schemas.openxmlformats.org/officeDocument/2006/relationships/image" Target="../media/image37.emf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6" Type="http://schemas.openxmlformats.org/officeDocument/2006/relationships/control" Target="../activeX/activeX53.xml"/><Relationship Id="rId5" Type="http://schemas.openxmlformats.org/officeDocument/2006/relationships/image" Target="../media/image13.emf"/><Relationship Id="rId4" Type="http://schemas.openxmlformats.org/officeDocument/2006/relationships/control" Target="../activeX/activeX52.xml"/><Relationship Id="rId9" Type="http://schemas.openxmlformats.org/officeDocument/2006/relationships/image" Target="../media/image38.emf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6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5.emf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5.xml"/><Relationship Id="rId5" Type="http://schemas.openxmlformats.org/officeDocument/2006/relationships/image" Target="../media/image4.emf"/><Relationship Id="rId4" Type="http://schemas.openxmlformats.org/officeDocument/2006/relationships/control" Target="../activeX/activeX4.xml"/><Relationship Id="rId9" Type="http://schemas.openxmlformats.org/officeDocument/2006/relationships/image" Target="../media/image6.emf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9.xml"/><Relationship Id="rId3" Type="http://schemas.openxmlformats.org/officeDocument/2006/relationships/vmlDrawing" Target="../drawings/vmlDrawing3.vml"/><Relationship Id="rId7" Type="http://schemas.openxmlformats.org/officeDocument/2006/relationships/image" Target="../media/image8.emf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ontrol" Target="../activeX/activeX8.xml"/><Relationship Id="rId5" Type="http://schemas.openxmlformats.org/officeDocument/2006/relationships/image" Target="../media/image7.emf"/><Relationship Id="rId4" Type="http://schemas.openxmlformats.org/officeDocument/2006/relationships/control" Target="../activeX/activeX7.xml"/><Relationship Id="rId9" Type="http://schemas.openxmlformats.org/officeDocument/2006/relationships/image" Target="../media/image9.emf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2.xml"/><Relationship Id="rId3" Type="http://schemas.openxmlformats.org/officeDocument/2006/relationships/vmlDrawing" Target="../drawings/vmlDrawing4.vml"/><Relationship Id="rId7" Type="http://schemas.openxmlformats.org/officeDocument/2006/relationships/image" Target="../media/image11.emf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6" Type="http://schemas.openxmlformats.org/officeDocument/2006/relationships/control" Target="../activeX/activeX11.xml"/><Relationship Id="rId5" Type="http://schemas.openxmlformats.org/officeDocument/2006/relationships/image" Target="../media/image10.emf"/><Relationship Id="rId4" Type="http://schemas.openxmlformats.org/officeDocument/2006/relationships/control" Target="../activeX/activeX10.xml"/><Relationship Id="rId9" Type="http://schemas.openxmlformats.org/officeDocument/2006/relationships/image" Target="../media/image12.emf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5.xml"/><Relationship Id="rId3" Type="http://schemas.openxmlformats.org/officeDocument/2006/relationships/vmlDrawing" Target="../drawings/vmlDrawing5.vml"/><Relationship Id="rId7" Type="http://schemas.openxmlformats.org/officeDocument/2006/relationships/image" Target="../media/image14.emf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6" Type="http://schemas.openxmlformats.org/officeDocument/2006/relationships/control" Target="../activeX/activeX14.xml"/><Relationship Id="rId5" Type="http://schemas.openxmlformats.org/officeDocument/2006/relationships/image" Target="../media/image13.emf"/><Relationship Id="rId4" Type="http://schemas.openxmlformats.org/officeDocument/2006/relationships/control" Target="../activeX/activeX13.xml"/><Relationship Id="rId9" Type="http://schemas.openxmlformats.org/officeDocument/2006/relationships/image" Target="../media/image15.emf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8.xml"/><Relationship Id="rId3" Type="http://schemas.openxmlformats.org/officeDocument/2006/relationships/vmlDrawing" Target="../drawings/vmlDrawing6.vml"/><Relationship Id="rId7" Type="http://schemas.openxmlformats.org/officeDocument/2006/relationships/image" Target="../media/image17.emf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6" Type="http://schemas.openxmlformats.org/officeDocument/2006/relationships/control" Target="../activeX/activeX17.xml"/><Relationship Id="rId5" Type="http://schemas.openxmlformats.org/officeDocument/2006/relationships/image" Target="../media/image16.emf"/><Relationship Id="rId4" Type="http://schemas.openxmlformats.org/officeDocument/2006/relationships/control" Target="../activeX/activeX16.xml"/><Relationship Id="rId9" Type="http://schemas.openxmlformats.org/officeDocument/2006/relationships/image" Target="../media/image18.emf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21.xml"/><Relationship Id="rId3" Type="http://schemas.openxmlformats.org/officeDocument/2006/relationships/vmlDrawing" Target="../drawings/vmlDrawing7.vml"/><Relationship Id="rId7" Type="http://schemas.openxmlformats.org/officeDocument/2006/relationships/image" Target="../media/image8.emf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ontrol" Target="../activeX/activeX20.xml"/><Relationship Id="rId5" Type="http://schemas.openxmlformats.org/officeDocument/2006/relationships/image" Target="../media/image19.emf"/><Relationship Id="rId4" Type="http://schemas.openxmlformats.org/officeDocument/2006/relationships/control" Target="../activeX/activeX19.xml"/><Relationship Id="rId9" Type="http://schemas.openxmlformats.org/officeDocument/2006/relationships/image" Target="../media/image20.emf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6"/>
  <sheetViews>
    <sheetView showGridLines="0" tabSelected="1" zoomScale="90" zoomScaleNormal="90" workbookViewId="0">
      <pane xSplit="2" ySplit="11" topLeftCell="C37" activePane="bottomRight" state="frozen"/>
      <selection pane="topRight" activeCell="C1" sqref="C1"/>
      <selection pane="bottomLeft" activeCell="A12" sqref="A12"/>
      <selection pane="bottomRight" activeCell="C76" sqref="C76"/>
    </sheetView>
  </sheetViews>
  <sheetFormatPr defaultColWidth="9.140625" defaultRowHeight="12.75" outlineLevelRow="1" x14ac:dyDescent="0.2"/>
  <cols>
    <col min="1" max="1" width="9.140625" style="1"/>
    <col min="2" max="2" width="36.140625" style="1" customWidth="1"/>
    <col min="3" max="6" width="15.7109375" style="1" customWidth="1"/>
    <col min="7" max="7" width="16.7109375" style="1" customWidth="1"/>
    <col min="8" max="11" width="15.7109375" style="1" customWidth="1"/>
    <col min="12" max="12" width="17.42578125" style="1" customWidth="1"/>
    <col min="13" max="13" width="15.7109375" style="1" customWidth="1"/>
    <col min="14" max="14" width="16.7109375" style="1" customWidth="1"/>
    <col min="15" max="19" width="15.7109375" style="1" customWidth="1"/>
    <col min="20" max="20" width="18" style="1" customWidth="1"/>
    <col min="21" max="21" width="16.7109375" style="1" customWidth="1"/>
    <col min="22" max="23" width="15.7109375" style="1" customWidth="1"/>
    <col min="24" max="16384" width="9.140625" style="1"/>
  </cols>
  <sheetData>
    <row r="1" spans="1:24" x14ac:dyDescent="0.2">
      <c r="C1" s="1" t="s">
        <v>81</v>
      </c>
    </row>
    <row r="2" spans="1:24" x14ac:dyDescent="0.2"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9"/>
      <c r="W2" s="129"/>
      <c r="X2" s="130"/>
    </row>
    <row r="3" spans="1:24" x14ac:dyDescent="0.2">
      <c r="B3" s="128"/>
      <c r="C3" s="128"/>
      <c r="D3" s="128"/>
      <c r="E3" s="128"/>
      <c r="F3" s="128"/>
      <c r="G3" s="128"/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9"/>
      <c r="W3" s="129"/>
      <c r="X3" s="130"/>
    </row>
    <row r="4" spans="1:24" x14ac:dyDescent="0.2"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193"/>
      <c r="V4" s="129"/>
      <c r="W4" s="129"/>
      <c r="X4" s="130"/>
    </row>
    <row r="5" spans="1:24" x14ac:dyDescent="0.2"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128"/>
      <c r="V5" s="129"/>
      <c r="W5" s="129"/>
      <c r="X5" s="130"/>
    </row>
    <row r="6" spans="1:24" x14ac:dyDescent="0.2">
      <c r="B6" s="131"/>
      <c r="C6" s="132"/>
      <c r="D6" s="132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3"/>
      <c r="U6" s="131"/>
      <c r="V6" s="129"/>
      <c r="W6" s="129"/>
      <c r="X6" s="130"/>
    </row>
    <row r="7" spans="1:24" x14ac:dyDescent="0.2">
      <c r="B7" s="131"/>
      <c r="C7" s="131"/>
      <c r="D7" s="131"/>
      <c r="E7" s="131"/>
      <c r="F7" s="131"/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29"/>
      <c r="W7" s="129"/>
      <c r="X7" s="130"/>
    </row>
    <row r="8" spans="1:24" ht="15" hidden="1" customHeight="1" x14ac:dyDescent="0.2">
      <c r="B8" s="131"/>
      <c r="C8" s="131"/>
      <c r="D8" s="131"/>
      <c r="E8" s="131"/>
      <c r="F8" s="131"/>
      <c r="G8" s="131"/>
      <c r="H8" s="131"/>
      <c r="I8" s="131"/>
      <c r="J8" s="131"/>
      <c r="K8" s="131"/>
      <c r="L8" s="131"/>
      <c r="M8" s="131"/>
      <c r="N8" s="131"/>
      <c r="O8" s="131"/>
      <c r="P8" s="131"/>
      <c r="Q8" s="131"/>
      <c r="R8" s="131"/>
      <c r="S8" s="131"/>
      <c r="T8" s="131"/>
      <c r="U8" s="131"/>
      <c r="X8" s="130"/>
    </row>
    <row r="9" spans="1:24" hidden="1" x14ac:dyDescent="0.2">
      <c r="B9" s="131"/>
      <c r="C9" s="131"/>
      <c r="D9" s="131"/>
      <c r="E9" s="131"/>
      <c r="F9" s="131"/>
      <c r="G9" s="131"/>
      <c r="H9" s="131"/>
      <c r="I9" s="131"/>
      <c r="J9" s="131"/>
      <c r="K9" s="131"/>
      <c r="L9" s="131"/>
      <c r="M9" s="131"/>
      <c r="N9" s="131"/>
      <c r="O9" s="131"/>
      <c r="P9" s="131"/>
      <c r="Q9" s="131"/>
      <c r="R9" s="131"/>
      <c r="S9" s="131"/>
      <c r="T9" s="131"/>
      <c r="U9" s="131"/>
      <c r="X9" s="130"/>
    </row>
    <row r="10" spans="1:24" s="134" customFormat="1" ht="39.75" customHeight="1" x14ac:dyDescent="0.2">
      <c r="B10" s="135" t="s">
        <v>12</v>
      </c>
      <c r="C10" s="212" t="s">
        <v>15</v>
      </c>
      <c r="D10" s="212" t="s">
        <v>1</v>
      </c>
      <c r="E10" s="212" t="s">
        <v>2</v>
      </c>
      <c r="F10" s="212" t="s">
        <v>3</v>
      </c>
      <c r="G10" s="212" t="s">
        <v>223</v>
      </c>
      <c r="H10" s="212" t="s">
        <v>5</v>
      </c>
      <c r="I10" s="212" t="s">
        <v>202</v>
      </c>
      <c r="J10" s="212" t="s">
        <v>224</v>
      </c>
      <c r="K10" s="212" t="s">
        <v>225</v>
      </c>
      <c r="L10" s="212" t="s">
        <v>7</v>
      </c>
      <c r="M10" s="212" t="s">
        <v>80</v>
      </c>
      <c r="N10" s="212" t="s">
        <v>222</v>
      </c>
      <c r="O10" s="212" t="s">
        <v>8</v>
      </c>
      <c r="P10" s="212" t="s">
        <v>9</v>
      </c>
      <c r="Q10" s="212" t="s">
        <v>10</v>
      </c>
      <c r="R10" s="212" t="s">
        <v>11</v>
      </c>
      <c r="S10" s="212" t="s">
        <v>75</v>
      </c>
      <c r="T10" s="136" t="s">
        <v>219</v>
      </c>
      <c r="U10" s="136" t="s">
        <v>220</v>
      </c>
      <c r="V10" s="136" t="s">
        <v>212</v>
      </c>
      <c r="W10" s="137" t="s">
        <v>213</v>
      </c>
      <c r="X10" s="138"/>
    </row>
    <row r="11" spans="1:24" ht="3" customHeight="1" thickBot="1" x14ac:dyDescent="0.25">
      <c r="B11" s="139"/>
      <c r="C11" s="140"/>
      <c r="D11" s="140"/>
      <c r="E11" s="140"/>
      <c r="F11" s="140"/>
      <c r="G11" s="140"/>
      <c r="H11" s="140"/>
      <c r="I11" s="140"/>
      <c r="J11" s="140"/>
      <c r="K11" s="140"/>
      <c r="L11" s="141"/>
      <c r="M11" s="141"/>
      <c r="N11" s="140"/>
      <c r="O11" s="140"/>
      <c r="P11" s="140"/>
      <c r="Q11" s="140"/>
      <c r="R11" s="140"/>
      <c r="S11" s="141"/>
      <c r="T11" s="141"/>
      <c r="U11" s="141"/>
      <c r="V11" s="141"/>
      <c r="W11" s="141"/>
      <c r="X11" s="130"/>
    </row>
    <row r="12" spans="1:24" ht="12" customHeight="1" outlineLevel="1" x14ac:dyDescent="0.2">
      <c r="A12" s="142">
        <v>511101</v>
      </c>
      <c r="B12" s="143" t="s">
        <v>65</v>
      </c>
      <c r="C12" s="144">
        <v>1795440.2704</v>
      </c>
      <c r="D12" s="209">
        <v>617122.28960000002</v>
      </c>
      <c r="E12" s="209" t="s">
        <v>81</v>
      </c>
      <c r="F12" s="144">
        <v>1951068.8632</v>
      </c>
      <c r="G12" s="144">
        <v>1087690.3584</v>
      </c>
      <c r="H12" s="144">
        <v>1742883.3832</v>
      </c>
      <c r="I12" s="144">
        <v>1130854.456</v>
      </c>
      <c r="J12" s="144">
        <v>568149.00959999999</v>
      </c>
      <c r="K12" s="144">
        <v>1955271.868</v>
      </c>
      <c r="L12" s="145">
        <v>-943111.12</v>
      </c>
      <c r="M12" s="144">
        <v>1217730</v>
      </c>
      <c r="N12" s="144">
        <v>14164883.1972</v>
      </c>
      <c r="O12" s="144">
        <v>12357953.3544</v>
      </c>
      <c r="P12" s="144">
        <v>14075857.634400001</v>
      </c>
      <c r="Q12" s="144">
        <v>1655621.7520000001</v>
      </c>
      <c r="R12" s="144">
        <v>3468786.8568000002</v>
      </c>
      <c r="S12" s="144">
        <v>10390316.954399999</v>
      </c>
      <c r="T12" s="146">
        <v>67236519.127599999</v>
      </c>
      <c r="U12" s="144">
        <v>61740283.638000004</v>
      </c>
      <c r="V12" s="146">
        <v>5496235.4895999953</v>
      </c>
      <c r="W12" s="147">
        <v>8.9021869770244524E-2</v>
      </c>
      <c r="X12" s="130"/>
    </row>
    <row r="13" spans="1:24" ht="12" customHeight="1" outlineLevel="1" x14ac:dyDescent="0.2">
      <c r="A13" s="142">
        <v>511202</v>
      </c>
      <c r="B13" s="143" t="s">
        <v>66</v>
      </c>
      <c r="C13" s="150" t="s">
        <v>81</v>
      </c>
      <c r="D13" s="150" t="s">
        <v>81</v>
      </c>
      <c r="E13" s="150" t="s">
        <v>81</v>
      </c>
      <c r="F13" s="150">
        <v>89528.71</v>
      </c>
      <c r="G13" s="150" t="s">
        <v>81</v>
      </c>
      <c r="H13" s="150">
        <v>158448</v>
      </c>
      <c r="I13" s="150" t="s">
        <v>81</v>
      </c>
      <c r="J13" s="150" t="s">
        <v>81</v>
      </c>
      <c r="K13" s="150" t="s">
        <v>81</v>
      </c>
      <c r="L13" s="150" t="s">
        <v>81</v>
      </c>
      <c r="M13" s="150">
        <v>0</v>
      </c>
      <c r="N13" s="150" t="s">
        <v>81</v>
      </c>
      <c r="O13" s="150" t="s">
        <v>81</v>
      </c>
      <c r="P13" s="150" t="s">
        <v>81</v>
      </c>
      <c r="Q13" s="150" t="s">
        <v>81</v>
      </c>
      <c r="R13" s="150" t="s">
        <v>81</v>
      </c>
      <c r="S13" s="150" t="s">
        <v>81</v>
      </c>
      <c r="T13" s="150">
        <v>247976.71000000002</v>
      </c>
      <c r="U13" s="149">
        <v>248448</v>
      </c>
      <c r="V13" s="151">
        <v>-471.28999999997905</v>
      </c>
      <c r="W13" s="147">
        <v>-1.8969361798041402E-3</v>
      </c>
      <c r="X13" s="130"/>
    </row>
    <row r="14" spans="1:24" ht="12" customHeight="1" outlineLevel="1" x14ac:dyDescent="0.2">
      <c r="A14" s="142">
        <v>511301</v>
      </c>
      <c r="B14" s="143" t="s">
        <v>67</v>
      </c>
      <c r="C14" s="150" t="s">
        <v>81</v>
      </c>
      <c r="D14" s="150" t="s">
        <v>81</v>
      </c>
      <c r="E14" s="150" t="s">
        <v>81</v>
      </c>
      <c r="F14" s="150">
        <v>2000</v>
      </c>
      <c r="G14" s="150" t="s">
        <v>81</v>
      </c>
      <c r="H14" s="150">
        <v>11979</v>
      </c>
      <c r="I14" s="150" t="s">
        <v>81</v>
      </c>
      <c r="J14" s="150" t="s">
        <v>81</v>
      </c>
      <c r="K14" s="150">
        <v>45000</v>
      </c>
      <c r="L14" s="150" t="s">
        <v>81</v>
      </c>
      <c r="M14" s="150" t="s">
        <v>81</v>
      </c>
      <c r="N14" s="150">
        <v>263487.19</v>
      </c>
      <c r="O14" s="150">
        <v>88215</v>
      </c>
      <c r="P14" s="150">
        <v>627047</v>
      </c>
      <c r="Q14" s="150" t="s">
        <v>81</v>
      </c>
      <c r="R14" s="150" t="s">
        <v>81</v>
      </c>
      <c r="S14" s="150">
        <v>270554</v>
      </c>
      <c r="T14" s="150">
        <v>1308282.19</v>
      </c>
      <c r="U14" s="149">
        <v>950257.03</v>
      </c>
      <c r="V14" s="151">
        <v>358025.15999999992</v>
      </c>
      <c r="W14" s="147">
        <v>0.3767666522814358</v>
      </c>
      <c r="X14" s="130"/>
    </row>
    <row r="15" spans="1:24" ht="12" customHeight="1" outlineLevel="1" x14ac:dyDescent="0.2">
      <c r="A15" s="142">
        <v>512101</v>
      </c>
      <c r="B15" s="143" t="s">
        <v>68</v>
      </c>
      <c r="C15" s="150" t="s">
        <v>81</v>
      </c>
      <c r="D15" s="150" t="s">
        <v>81</v>
      </c>
      <c r="E15" s="150" t="s">
        <v>81</v>
      </c>
      <c r="F15" s="150" t="s">
        <v>81</v>
      </c>
      <c r="G15" s="150" t="s">
        <v>81</v>
      </c>
      <c r="H15" s="150" t="s">
        <v>81</v>
      </c>
      <c r="I15" s="150" t="s">
        <v>81</v>
      </c>
      <c r="J15" s="150" t="s">
        <v>81</v>
      </c>
      <c r="K15" s="150" t="s">
        <v>81</v>
      </c>
      <c r="L15" s="150">
        <v>8881190</v>
      </c>
      <c r="M15" s="150" t="s">
        <v>81</v>
      </c>
      <c r="N15" s="150" t="s">
        <v>81</v>
      </c>
      <c r="O15" s="150" t="s">
        <v>81</v>
      </c>
      <c r="P15" s="150" t="s">
        <v>81</v>
      </c>
      <c r="Q15" s="150" t="s">
        <v>81</v>
      </c>
      <c r="R15" s="150" t="s">
        <v>81</v>
      </c>
      <c r="S15" s="150" t="s">
        <v>81</v>
      </c>
      <c r="T15" s="152">
        <v>8881190</v>
      </c>
      <c r="U15" s="149">
        <v>7618675</v>
      </c>
      <c r="V15" s="151">
        <v>1262515</v>
      </c>
      <c r="W15" s="147">
        <v>0.16571319816109756</v>
      </c>
      <c r="X15" s="130"/>
    </row>
    <row r="16" spans="1:24" ht="12" customHeight="1" outlineLevel="1" x14ac:dyDescent="0.2">
      <c r="A16" s="142">
        <v>512401</v>
      </c>
      <c r="B16" s="143" t="s">
        <v>69</v>
      </c>
      <c r="C16" s="150">
        <v>233407.11749599999</v>
      </c>
      <c r="D16" s="150">
        <v>71414.886123000004</v>
      </c>
      <c r="E16" s="150" t="s">
        <v>81</v>
      </c>
      <c r="F16" s="150">
        <v>276142.95603200002</v>
      </c>
      <c r="G16" s="150">
        <v>153900.08101299999</v>
      </c>
      <c r="H16" s="150">
        <v>246618.40124800001</v>
      </c>
      <c r="I16" s="150">
        <v>160038.930525</v>
      </c>
      <c r="J16" s="150">
        <v>80392.834858000002</v>
      </c>
      <c r="K16" s="150">
        <v>276608.971823</v>
      </c>
      <c r="L16" s="181">
        <v>-677516.82</v>
      </c>
      <c r="M16" s="150">
        <v>172308.52</v>
      </c>
      <c r="N16" s="150">
        <v>2001793.8942809999</v>
      </c>
      <c r="O16" s="150">
        <v>1748649.123289</v>
      </c>
      <c r="P16" s="150">
        <v>1993874.6745199999</v>
      </c>
      <c r="Q16" s="150">
        <v>480474.60035199998</v>
      </c>
      <c r="R16" s="150">
        <v>490833.20611600002</v>
      </c>
      <c r="S16" s="150">
        <v>1470353.094452</v>
      </c>
      <c r="T16" s="152">
        <v>9179294.4721280001</v>
      </c>
      <c r="U16" s="149">
        <v>8851602.8463869989</v>
      </c>
      <c r="V16" s="151">
        <v>327691.62574100122</v>
      </c>
      <c r="W16" s="147">
        <v>3.7020597447473221E-2</v>
      </c>
      <c r="X16" s="130"/>
    </row>
    <row r="17" spans="1:24" outlineLevel="1" x14ac:dyDescent="0.2">
      <c r="A17" s="142">
        <v>512402</v>
      </c>
      <c r="B17" s="143" t="s">
        <v>70</v>
      </c>
      <c r="C17" s="150" t="s">
        <v>81</v>
      </c>
      <c r="D17" s="150" t="s">
        <v>81</v>
      </c>
      <c r="E17" s="150" t="s">
        <v>81</v>
      </c>
      <c r="F17" s="150">
        <v>8305</v>
      </c>
      <c r="G17" s="150" t="s">
        <v>81</v>
      </c>
      <c r="H17" s="150">
        <v>2298</v>
      </c>
      <c r="I17" s="150" t="s">
        <v>81</v>
      </c>
      <c r="J17" s="150" t="s">
        <v>81</v>
      </c>
      <c r="K17" s="150" t="s">
        <v>81</v>
      </c>
      <c r="L17" s="150" t="s">
        <v>81</v>
      </c>
      <c r="M17" s="150" t="s">
        <v>81</v>
      </c>
      <c r="N17" s="150" t="s">
        <v>81</v>
      </c>
      <c r="O17" s="150" t="s">
        <v>81</v>
      </c>
      <c r="P17" s="150" t="s">
        <v>81</v>
      </c>
      <c r="Q17" s="150" t="s">
        <v>81</v>
      </c>
      <c r="R17" s="150" t="s">
        <v>81</v>
      </c>
      <c r="S17" s="150" t="s">
        <v>81</v>
      </c>
      <c r="T17" s="153">
        <v>10603</v>
      </c>
      <c r="U17" s="149">
        <v>3603</v>
      </c>
      <c r="V17" s="151">
        <v>7000</v>
      </c>
      <c r="W17" s="147">
        <v>1.9428254232583957</v>
      </c>
      <c r="X17" s="130"/>
    </row>
    <row r="18" spans="1:24" ht="12" customHeight="1" outlineLevel="1" x14ac:dyDescent="0.2">
      <c r="A18" s="142">
        <v>512501</v>
      </c>
      <c r="B18" s="143" t="s">
        <v>71</v>
      </c>
      <c r="C18" s="150" t="s">
        <v>81</v>
      </c>
      <c r="D18" s="150" t="s">
        <v>81</v>
      </c>
      <c r="E18" s="150" t="s">
        <v>81</v>
      </c>
      <c r="F18" s="150">
        <v>13100</v>
      </c>
      <c r="G18" s="150" t="s">
        <v>81</v>
      </c>
      <c r="H18" s="150" t="s">
        <v>81</v>
      </c>
      <c r="I18" s="150" t="s">
        <v>81</v>
      </c>
      <c r="J18" s="150" t="s">
        <v>81</v>
      </c>
      <c r="K18" s="150" t="s">
        <v>81</v>
      </c>
      <c r="L18" s="150" t="s">
        <v>81</v>
      </c>
      <c r="M18" s="150" t="s">
        <v>81</v>
      </c>
      <c r="N18" s="150" t="s">
        <v>81</v>
      </c>
      <c r="O18" s="150" t="s">
        <v>81</v>
      </c>
      <c r="P18" s="150" t="s">
        <v>81</v>
      </c>
      <c r="Q18" s="150" t="s">
        <v>81</v>
      </c>
      <c r="R18" s="150" t="s">
        <v>81</v>
      </c>
      <c r="S18" s="150" t="s">
        <v>81</v>
      </c>
      <c r="T18" s="150">
        <v>13100</v>
      </c>
      <c r="U18" s="149">
        <v>33100</v>
      </c>
      <c r="V18" s="181">
        <v>-20000</v>
      </c>
      <c r="W18" s="147">
        <v>-0.60422960725075525</v>
      </c>
      <c r="X18" s="130"/>
    </row>
    <row r="19" spans="1:24" outlineLevel="1" x14ac:dyDescent="0.2">
      <c r="A19" s="142">
        <v>512601</v>
      </c>
      <c r="B19" s="143" t="s">
        <v>72</v>
      </c>
      <c r="C19" s="150" t="s">
        <v>81</v>
      </c>
      <c r="D19" s="150" t="s">
        <v>81</v>
      </c>
      <c r="E19" s="150" t="s">
        <v>81</v>
      </c>
      <c r="F19" s="150" t="s">
        <v>81</v>
      </c>
      <c r="G19" s="150" t="s">
        <v>81</v>
      </c>
      <c r="H19" s="150" t="s">
        <v>81</v>
      </c>
      <c r="I19" s="150" t="s">
        <v>81</v>
      </c>
      <c r="J19" s="150" t="s">
        <v>81</v>
      </c>
      <c r="K19" s="150" t="s">
        <v>81</v>
      </c>
      <c r="L19" s="150">
        <v>175000</v>
      </c>
      <c r="M19" s="150" t="s">
        <v>81</v>
      </c>
      <c r="N19" s="150" t="s">
        <v>81</v>
      </c>
      <c r="O19" s="150" t="s">
        <v>81</v>
      </c>
      <c r="P19" s="150" t="s">
        <v>81</v>
      </c>
      <c r="Q19" s="150" t="s">
        <v>81</v>
      </c>
      <c r="R19" s="150" t="s">
        <v>81</v>
      </c>
      <c r="S19" s="150" t="s">
        <v>81</v>
      </c>
      <c r="T19" s="150">
        <v>175000</v>
      </c>
      <c r="U19" s="149">
        <v>100000</v>
      </c>
      <c r="V19" s="150">
        <v>75000</v>
      </c>
      <c r="W19" s="147">
        <v>0.75</v>
      </c>
      <c r="X19" s="130"/>
    </row>
    <row r="20" spans="1:24" ht="12" hidden="1" customHeight="1" outlineLevel="1" x14ac:dyDescent="0.2">
      <c r="A20" s="142">
        <v>512602</v>
      </c>
      <c r="B20" s="143" t="s">
        <v>73</v>
      </c>
      <c r="C20" s="148">
        <v>0</v>
      </c>
      <c r="D20" s="149">
        <v>0</v>
      </c>
      <c r="E20" s="148">
        <v>0</v>
      </c>
      <c r="F20" s="148">
        <v>0</v>
      </c>
      <c r="G20" s="148">
        <v>0</v>
      </c>
      <c r="H20" s="149">
        <v>0</v>
      </c>
      <c r="I20" s="148">
        <v>0</v>
      </c>
      <c r="J20" s="148">
        <v>0</v>
      </c>
      <c r="K20" s="148">
        <v>0</v>
      </c>
      <c r="L20" s="148">
        <v>0</v>
      </c>
      <c r="M20" s="148">
        <v>0</v>
      </c>
      <c r="N20" s="148">
        <v>0</v>
      </c>
      <c r="O20" s="148">
        <v>0</v>
      </c>
      <c r="P20" s="148">
        <v>0</v>
      </c>
      <c r="Q20" s="148">
        <v>0</v>
      </c>
      <c r="R20" s="148">
        <v>0</v>
      </c>
      <c r="S20" s="148">
        <v>0</v>
      </c>
      <c r="T20" s="153">
        <v>0</v>
      </c>
      <c r="U20" s="153">
        <v>0</v>
      </c>
      <c r="V20" s="153">
        <v>0</v>
      </c>
      <c r="W20" s="147" t="s">
        <v>203</v>
      </c>
      <c r="X20" s="130"/>
    </row>
    <row r="21" spans="1:24" ht="12" hidden="1" customHeight="1" outlineLevel="1" x14ac:dyDescent="0.2">
      <c r="A21" s="142">
        <v>512701</v>
      </c>
      <c r="B21" s="143" t="s">
        <v>74</v>
      </c>
      <c r="C21" s="148">
        <v>0</v>
      </c>
      <c r="D21" s="149">
        <v>0</v>
      </c>
      <c r="E21" s="148">
        <v>0</v>
      </c>
      <c r="F21" s="148">
        <v>0</v>
      </c>
      <c r="G21" s="148">
        <v>0</v>
      </c>
      <c r="H21" s="149">
        <v>0</v>
      </c>
      <c r="I21" s="148">
        <v>0</v>
      </c>
      <c r="J21" s="148">
        <v>0</v>
      </c>
      <c r="K21" s="148">
        <v>0</v>
      </c>
      <c r="L21" s="148">
        <v>0</v>
      </c>
      <c r="M21" s="148">
        <v>0</v>
      </c>
      <c r="N21" s="148">
        <v>0</v>
      </c>
      <c r="O21" s="148">
        <v>0</v>
      </c>
      <c r="P21" s="148">
        <v>0</v>
      </c>
      <c r="Q21" s="148">
        <v>0</v>
      </c>
      <c r="R21" s="148">
        <v>0</v>
      </c>
      <c r="S21" s="148">
        <v>0</v>
      </c>
      <c r="T21" s="153">
        <v>0</v>
      </c>
      <c r="U21" s="153">
        <v>0</v>
      </c>
      <c r="V21" s="153">
        <v>0</v>
      </c>
      <c r="W21" s="147" t="s">
        <v>203</v>
      </c>
      <c r="X21" s="130"/>
    </row>
    <row r="22" spans="1:24" s="160" customFormat="1" ht="12" customHeight="1" outlineLevel="1" x14ac:dyDescent="0.2">
      <c r="A22" s="154"/>
      <c r="B22" s="155" t="s">
        <v>0</v>
      </c>
      <c r="C22" s="156">
        <v>2028847.3878959999</v>
      </c>
      <c r="D22" s="156">
        <v>688537.17572299996</v>
      </c>
      <c r="E22" s="156">
        <v>0</v>
      </c>
      <c r="F22" s="156">
        <v>2340145.529232</v>
      </c>
      <c r="G22" s="156">
        <v>1241590.4394129999</v>
      </c>
      <c r="H22" s="156">
        <v>2162226.7844480001</v>
      </c>
      <c r="I22" s="156">
        <v>1290893.386525</v>
      </c>
      <c r="J22" s="156">
        <v>648541.84445800004</v>
      </c>
      <c r="K22" s="156">
        <v>2276880.8398230001</v>
      </c>
      <c r="L22" s="156">
        <v>7435562.0599999996</v>
      </c>
      <c r="M22" s="156">
        <v>1390038.52</v>
      </c>
      <c r="N22" s="156">
        <v>16430164.281481</v>
      </c>
      <c r="O22" s="156">
        <v>14194817.477689</v>
      </c>
      <c r="P22" s="156">
        <v>16696779.30892</v>
      </c>
      <c r="Q22" s="156">
        <v>2136096.3523519998</v>
      </c>
      <c r="R22" s="156">
        <v>3959620.0629160004</v>
      </c>
      <c r="S22" s="156">
        <v>12131224.048851999</v>
      </c>
      <c r="T22" s="156">
        <v>87051965.499727994</v>
      </c>
      <c r="U22" s="156">
        <v>79545969.514387012</v>
      </c>
      <c r="V22" s="157">
        <v>7505995.9853409966</v>
      </c>
      <c r="W22" s="158">
        <v>9.4360481507280283E-2</v>
      </c>
      <c r="X22" s="159"/>
    </row>
    <row r="23" spans="1:24" ht="12" customHeight="1" outlineLevel="1" x14ac:dyDescent="0.2">
      <c r="A23" s="142">
        <v>521201</v>
      </c>
      <c r="B23" s="163" t="s">
        <v>38</v>
      </c>
      <c r="C23" s="150" t="s">
        <v>81</v>
      </c>
      <c r="D23" s="150">
        <v>35000</v>
      </c>
      <c r="E23" s="150" t="s">
        <v>81</v>
      </c>
      <c r="F23" s="150">
        <v>353000</v>
      </c>
      <c r="G23" s="150">
        <v>130000</v>
      </c>
      <c r="H23" s="150">
        <v>1000000</v>
      </c>
      <c r="I23" s="150" t="s">
        <v>81</v>
      </c>
      <c r="J23" s="150">
        <v>50000</v>
      </c>
      <c r="K23" s="150">
        <v>2507664</v>
      </c>
      <c r="L23" s="150">
        <v>42000</v>
      </c>
      <c r="M23" s="150">
        <v>625000</v>
      </c>
      <c r="N23" s="150">
        <v>14390000</v>
      </c>
      <c r="O23" s="150" t="s">
        <v>81</v>
      </c>
      <c r="P23" s="150">
        <v>200000</v>
      </c>
      <c r="Q23" s="150">
        <v>50000</v>
      </c>
      <c r="R23" s="150" t="s">
        <v>81</v>
      </c>
      <c r="S23" s="150">
        <v>43342</v>
      </c>
      <c r="T23" s="149">
        <v>19426006</v>
      </c>
      <c r="U23" s="149">
        <v>17958106</v>
      </c>
      <c r="V23" s="210">
        <v>1467900</v>
      </c>
      <c r="W23" s="147">
        <v>8.1740245881163631E-2</v>
      </c>
      <c r="X23" s="130"/>
    </row>
    <row r="24" spans="1:24" ht="12" customHeight="1" outlineLevel="1" x14ac:dyDescent="0.2">
      <c r="A24" s="142">
        <v>521202</v>
      </c>
      <c r="B24" s="163" t="s">
        <v>39</v>
      </c>
      <c r="C24" s="150" t="s">
        <v>81</v>
      </c>
      <c r="D24" s="150" t="s">
        <v>81</v>
      </c>
      <c r="E24" s="150" t="s">
        <v>81</v>
      </c>
      <c r="F24" s="150" t="s">
        <v>81</v>
      </c>
      <c r="G24" s="150" t="s">
        <v>81</v>
      </c>
      <c r="H24" s="150">
        <v>3000000</v>
      </c>
      <c r="I24" s="150" t="s">
        <v>81</v>
      </c>
      <c r="J24" s="150" t="s">
        <v>81</v>
      </c>
      <c r="K24" s="150" t="s">
        <v>81</v>
      </c>
      <c r="L24" s="150" t="s">
        <v>81</v>
      </c>
      <c r="M24" s="150" t="s">
        <v>81</v>
      </c>
      <c r="N24" s="150" t="s">
        <v>81</v>
      </c>
      <c r="O24" s="150" t="s">
        <v>81</v>
      </c>
      <c r="P24" s="150" t="s">
        <v>81</v>
      </c>
      <c r="Q24" s="150" t="s">
        <v>81</v>
      </c>
      <c r="R24" s="150" t="s">
        <v>81</v>
      </c>
      <c r="S24" s="150" t="s">
        <v>81</v>
      </c>
      <c r="T24" s="150">
        <v>3000000</v>
      </c>
      <c r="U24" s="149">
        <v>1950000</v>
      </c>
      <c r="V24" s="151">
        <v>1050000</v>
      </c>
      <c r="W24" s="147">
        <v>0.53846153846153844</v>
      </c>
      <c r="X24" s="130"/>
    </row>
    <row r="25" spans="1:24" ht="12" customHeight="1" outlineLevel="1" x14ac:dyDescent="0.2">
      <c r="A25" s="142">
        <v>521203</v>
      </c>
      <c r="B25" s="163" t="s">
        <v>40</v>
      </c>
      <c r="C25" s="150">
        <v>200000</v>
      </c>
      <c r="D25" s="150" t="s">
        <v>81</v>
      </c>
      <c r="E25" s="150" t="s">
        <v>81</v>
      </c>
      <c r="F25" s="150" t="s">
        <v>81</v>
      </c>
      <c r="G25" s="150" t="s">
        <v>81</v>
      </c>
      <c r="H25" s="150" t="s">
        <v>81</v>
      </c>
      <c r="I25" s="150" t="s">
        <v>81</v>
      </c>
      <c r="J25" s="150" t="s">
        <v>81</v>
      </c>
      <c r="K25" s="150" t="s">
        <v>81</v>
      </c>
      <c r="L25" s="150" t="s">
        <v>81</v>
      </c>
      <c r="M25" s="150" t="s">
        <v>81</v>
      </c>
      <c r="N25" s="150" t="s">
        <v>81</v>
      </c>
      <c r="O25" s="150" t="s">
        <v>81</v>
      </c>
      <c r="P25" s="150" t="s">
        <v>81</v>
      </c>
      <c r="Q25" s="150" t="s">
        <v>81</v>
      </c>
      <c r="R25" s="150" t="s">
        <v>81</v>
      </c>
      <c r="S25" s="150" t="s">
        <v>81</v>
      </c>
      <c r="T25" s="150">
        <v>200000</v>
      </c>
      <c r="U25" s="149">
        <v>200000</v>
      </c>
      <c r="V25" s="153">
        <v>0</v>
      </c>
      <c r="W25" s="153">
        <v>0</v>
      </c>
      <c r="X25" s="130"/>
    </row>
    <row r="26" spans="1:24" ht="12" hidden="1" customHeight="1" outlineLevel="1" x14ac:dyDescent="0.2">
      <c r="A26" s="142">
        <v>521204</v>
      </c>
      <c r="B26" s="163" t="s">
        <v>41</v>
      </c>
      <c r="C26" s="150">
        <v>0</v>
      </c>
      <c r="D26" s="150">
        <v>0</v>
      </c>
      <c r="E26" s="150">
        <v>0</v>
      </c>
      <c r="F26" s="150">
        <v>0</v>
      </c>
      <c r="G26" s="150">
        <v>0</v>
      </c>
      <c r="H26" s="150">
        <v>0</v>
      </c>
      <c r="I26" s="150">
        <v>0</v>
      </c>
      <c r="J26" s="150">
        <v>0</v>
      </c>
      <c r="K26" s="150">
        <v>0</v>
      </c>
      <c r="L26" s="150">
        <v>0</v>
      </c>
      <c r="M26" s="150">
        <v>0</v>
      </c>
      <c r="N26" s="150">
        <v>0</v>
      </c>
      <c r="O26" s="150">
        <v>0</v>
      </c>
      <c r="P26" s="150">
        <v>0</v>
      </c>
      <c r="Q26" s="150">
        <v>0</v>
      </c>
      <c r="R26" s="150">
        <v>0</v>
      </c>
      <c r="S26" s="150">
        <v>0</v>
      </c>
      <c r="T26" s="150">
        <v>0</v>
      </c>
      <c r="U26" s="150">
        <v>0</v>
      </c>
      <c r="V26" s="153">
        <v>0</v>
      </c>
      <c r="W26" s="153">
        <v>0</v>
      </c>
      <c r="X26" s="130"/>
    </row>
    <row r="27" spans="1:24" ht="12" customHeight="1" outlineLevel="1" x14ac:dyDescent="0.2">
      <c r="A27" s="142">
        <v>521207</v>
      </c>
      <c r="B27" s="163" t="s">
        <v>42</v>
      </c>
      <c r="C27" s="150" t="s">
        <v>81</v>
      </c>
      <c r="D27" s="150" t="s">
        <v>81</v>
      </c>
      <c r="E27" s="150" t="s">
        <v>81</v>
      </c>
      <c r="F27" s="150" t="s">
        <v>81</v>
      </c>
      <c r="G27" s="150" t="s">
        <v>81</v>
      </c>
      <c r="H27" s="150" t="s">
        <v>81</v>
      </c>
      <c r="I27" s="150" t="s">
        <v>81</v>
      </c>
      <c r="J27" s="150" t="s">
        <v>81</v>
      </c>
      <c r="K27" s="150" t="s">
        <v>81</v>
      </c>
      <c r="L27" s="150" t="s">
        <v>81</v>
      </c>
      <c r="M27" s="150">
        <v>650000</v>
      </c>
      <c r="N27" s="150" t="s">
        <v>81</v>
      </c>
      <c r="O27" s="150" t="s">
        <v>81</v>
      </c>
      <c r="P27" s="150" t="s">
        <v>81</v>
      </c>
      <c r="Q27" s="150" t="s">
        <v>81</v>
      </c>
      <c r="R27" s="150" t="s">
        <v>81</v>
      </c>
      <c r="S27" s="150" t="s">
        <v>81</v>
      </c>
      <c r="T27" s="150">
        <v>650000</v>
      </c>
      <c r="U27" s="149">
        <v>650000</v>
      </c>
      <c r="V27" s="153">
        <v>0</v>
      </c>
      <c r="W27" s="153">
        <v>0</v>
      </c>
      <c r="X27" s="130"/>
    </row>
    <row r="28" spans="1:24" ht="12" customHeight="1" outlineLevel="1" x14ac:dyDescent="0.2">
      <c r="A28" s="142">
        <v>521208</v>
      </c>
      <c r="B28" s="163" t="s">
        <v>43</v>
      </c>
      <c r="C28" s="150" t="s">
        <v>81</v>
      </c>
      <c r="D28" s="150" t="s">
        <v>81</v>
      </c>
      <c r="E28" s="150" t="s">
        <v>81</v>
      </c>
      <c r="F28" s="150" t="s">
        <v>81</v>
      </c>
      <c r="G28" s="150" t="s">
        <v>81</v>
      </c>
      <c r="H28" s="150" t="s">
        <v>81</v>
      </c>
      <c r="I28" s="150" t="s">
        <v>81</v>
      </c>
      <c r="J28" s="150" t="s">
        <v>81</v>
      </c>
      <c r="K28" s="150" t="s">
        <v>81</v>
      </c>
      <c r="L28" s="150" t="s">
        <v>81</v>
      </c>
      <c r="M28" s="150" t="s">
        <v>81</v>
      </c>
      <c r="N28" s="150" t="s">
        <v>81</v>
      </c>
      <c r="O28" s="150" t="s">
        <v>81</v>
      </c>
      <c r="P28" s="150" t="s">
        <v>81</v>
      </c>
      <c r="Q28" s="150" t="s">
        <v>81</v>
      </c>
      <c r="R28" s="150" t="s">
        <v>81</v>
      </c>
      <c r="S28" s="150">
        <v>17741555</v>
      </c>
      <c r="T28" s="150">
        <v>17741555</v>
      </c>
      <c r="U28" s="149">
        <v>16402810</v>
      </c>
      <c r="V28" s="151">
        <v>1338745</v>
      </c>
      <c r="W28" s="147">
        <v>8.1616808339546695E-2</v>
      </c>
      <c r="X28" s="130"/>
    </row>
    <row r="29" spans="1:24" ht="12" customHeight="1" outlineLevel="1" x14ac:dyDescent="0.2">
      <c r="A29" s="142">
        <v>521209</v>
      </c>
      <c r="B29" s="163" t="s">
        <v>44</v>
      </c>
      <c r="C29" s="150" t="s">
        <v>81</v>
      </c>
      <c r="D29" s="150" t="s">
        <v>81</v>
      </c>
      <c r="E29" s="150" t="s">
        <v>81</v>
      </c>
      <c r="F29" s="150" t="s">
        <v>81</v>
      </c>
      <c r="G29" s="150" t="s">
        <v>81</v>
      </c>
      <c r="H29" s="150" t="s">
        <v>81</v>
      </c>
      <c r="I29" s="150" t="s">
        <v>81</v>
      </c>
      <c r="J29" s="150" t="s">
        <v>81</v>
      </c>
      <c r="K29" s="150" t="s">
        <v>81</v>
      </c>
      <c r="L29" s="150" t="s">
        <v>81</v>
      </c>
      <c r="M29" s="150" t="s">
        <v>81</v>
      </c>
      <c r="N29" s="150">
        <v>68400</v>
      </c>
      <c r="O29" s="150" t="s">
        <v>81</v>
      </c>
      <c r="P29" s="150" t="s">
        <v>81</v>
      </c>
      <c r="Q29" s="150" t="s">
        <v>81</v>
      </c>
      <c r="R29" s="150" t="s">
        <v>81</v>
      </c>
      <c r="S29" s="150" t="s">
        <v>81</v>
      </c>
      <c r="T29" s="150">
        <v>68400</v>
      </c>
      <c r="U29" s="149">
        <v>50150</v>
      </c>
      <c r="V29" s="151">
        <v>18250</v>
      </c>
      <c r="W29" s="147">
        <v>0.36390827517447655</v>
      </c>
      <c r="X29" s="130"/>
    </row>
    <row r="30" spans="1:24" ht="12" customHeight="1" x14ac:dyDescent="0.2">
      <c r="A30" s="142">
        <v>523301</v>
      </c>
      <c r="B30" s="163" t="s">
        <v>24</v>
      </c>
      <c r="C30" s="150" t="s">
        <v>81</v>
      </c>
      <c r="D30" s="150" t="s">
        <v>81</v>
      </c>
      <c r="E30" s="150" t="s">
        <v>81</v>
      </c>
      <c r="F30" s="150">
        <v>222000</v>
      </c>
      <c r="G30" s="150" t="s">
        <v>81</v>
      </c>
      <c r="H30" s="150" t="s">
        <v>81</v>
      </c>
      <c r="I30" s="150" t="s">
        <v>81</v>
      </c>
      <c r="J30" s="150" t="s">
        <v>81</v>
      </c>
      <c r="K30" s="150" t="s">
        <v>81</v>
      </c>
      <c r="L30" s="150" t="s">
        <v>81</v>
      </c>
      <c r="M30" s="150" t="s">
        <v>81</v>
      </c>
      <c r="N30" s="150" t="s">
        <v>81</v>
      </c>
      <c r="O30" s="150" t="s">
        <v>81</v>
      </c>
      <c r="P30" s="150" t="s">
        <v>81</v>
      </c>
      <c r="Q30" s="150" t="s">
        <v>81</v>
      </c>
      <c r="R30" s="150" t="s">
        <v>81</v>
      </c>
      <c r="S30" s="150" t="s">
        <v>81</v>
      </c>
      <c r="T30" s="150">
        <v>222000</v>
      </c>
      <c r="U30" s="149">
        <v>222000</v>
      </c>
      <c r="V30" s="153">
        <v>0</v>
      </c>
      <c r="W30" s="153">
        <v>0</v>
      </c>
      <c r="X30" s="130"/>
    </row>
    <row r="31" spans="1:24" ht="12" customHeight="1" outlineLevel="1" x14ac:dyDescent="0.2">
      <c r="A31" s="142">
        <v>523851</v>
      </c>
      <c r="B31" s="163" t="s">
        <v>46</v>
      </c>
      <c r="C31" s="150" t="s">
        <v>81</v>
      </c>
      <c r="D31" s="150" t="s">
        <v>81</v>
      </c>
      <c r="E31" s="150" t="s">
        <v>81</v>
      </c>
      <c r="F31" s="150">
        <v>100000</v>
      </c>
      <c r="G31" s="150" t="s">
        <v>81</v>
      </c>
      <c r="H31" s="150" t="s">
        <v>81</v>
      </c>
      <c r="I31" s="150" t="s">
        <v>81</v>
      </c>
      <c r="J31" s="150" t="s">
        <v>81</v>
      </c>
      <c r="K31" s="150" t="s">
        <v>81</v>
      </c>
      <c r="L31" s="150" t="s">
        <v>81</v>
      </c>
      <c r="M31" s="150" t="s">
        <v>81</v>
      </c>
      <c r="N31" s="150">
        <v>17000000</v>
      </c>
      <c r="O31" s="150">
        <v>40000</v>
      </c>
      <c r="P31" s="150" t="s">
        <v>81</v>
      </c>
      <c r="Q31" s="150" t="s">
        <v>81</v>
      </c>
      <c r="R31" s="150" t="s">
        <v>81</v>
      </c>
      <c r="S31" s="150" t="s">
        <v>81</v>
      </c>
      <c r="T31" s="150">
        <v>17140000</v>
      </c>
      <c r="U31" s="149">
        <v>15467000</v>
      </c>
      <c r="V31" s="151">
        <v>1673000</v>
      </c>
      <c r="W31" s="147">
        <v>0.10816577228939031</v>
      </c>
      <c r="X31" s="130"/>
    </row>
    <row r="32" spans="1:24" s="162" customFormat="1" ht="12" customHeight="1" outlineLevel="1" x14ac:dyDescent="0.2">
      <c r="A32" s="161"/>
      <c r="B32" s="155" t="s">
        <v>17</v>
      </c>
      <c r="C32" s="156">
        <v>200000</v>
      </c>
      <c r="D32" s="156">
        <v>35000</v>
      </c>
      <c r="E32" s="156">
        <v>0</v>
      </c>
      <c r="F32" s="156">
        <v>675000</v>
      </c>
      <c r="G32" s="156">
        <v>130000</v>
      </c>
      <c r="H32" s="156">
        <v>4000000</v>
      </c>
      <c r="I32" s="156">
        <v>0</v>
      </c>
      <c r="J32" s="156">
        <v>50000</v>
      </c>
      <c r="K32" s="156">
        <v>2507664</v>
      </c>
      <c r="L32" s="156">
        <v>42000</v>
      </c>
      <c r="M32" s="156">
        <v>1275000</v>
      </c>
      <c r="N32" s="156">
        <v>31458400</v>
      </c>
      <c r="O32" s="156">
        <v>40000</v>
      </c>
      <c r="P32" s="156">
        <v>200000</v>
      </c>
      <c r="Q32" s="156">
        <v>50000</v>
      </c>
      <c r="R32" s="156">
        <v>0</v>
      </c>
      <c r="S32" s="156">
        <v>17784897</v>
      </c>
      <c r="T32" s="156">
        <v>58447961</v>
      </c>
      <c r="U32" s="156">
        <v>52900066</v>
      </c>
      <c r="V32" s="157">
        <v>5547895</v>
      </c>
      <c r="W32" s="158">
        <v>0.10487501093098825</v>
      </c>
      <c r="X32" s="130"/>
    </row>
    <row r="33" spans="1:24" ht="12" customHeight="1" outlineLevel="1" x14ac:dyDescent="0.2">
      <c r="A33" s="142">
        <v>521212</v>
      </c>
      <c r="B33" s="163" t="s">
        <v>45</v>
      </c>
      <c r="C33" s="150" t="s">
        <v>81</v>
      </c>
      <c r="D33" s="150" t="s">
        <v>81</v>
      </c>
      <c r="E33" s="150" t="s">
        <v>81</v>
      </c>
      <c r="F33" s="150" t="s">
        <v>81</v>
      </c>
      <c r="G33" s="150" t="s">
        <v>81</v>
      </c>
      <c r="H33" s="150" t="s">
        <v>81</v>
      </c>
      <c r="I33" s="150" t="s">
        <v>81</v>
      </c>
      <c r="J33" s="150" t="s">
        <v>81</v>
      </c>
      <c r="K33" s="150" t="s">
        <v>81</v>
      </c>
      <c r="L33" s="150" t="s">
        <v>81</v>
      </c>
      <c r="M33" s="150" t="s">
        <v>81</v>
      </c>
      <c r="N33" s="150" t="s">
        <v>81</v>
      </c>
      <c r="O33" s="150">
        <v>10312338</v>
      </c>
      <c r="P33" s="150">
        <v>36992919.100000001</v>
      </c>
      <c r="Q33" s="150" t="s">
        <v>81</v>
      </c>
      <c r="R33" s="150" t="s">
        <v>81</v>
      </c>
      <c r="S33" s="150">
        <v>114500</v>
      </c>
      <c r="T33" s="150">
        <v>47419757.100000001</v>
      </c>
      <c r="U33" s="149">
        <v>45921184</v>
      </c>
      <c r="V33" s="150">
        <v>1498573.1000000015</v>
      </c>
      <c r="W33" s="147">
        <v>3.2633590196629106E-2</v>
      </c>
      <c r="X33" s="130"/>
    </row>
    <row r="34" spans="1:24" ht="12" customHeight="1" outlineLevel="1" x14ac:dyDescent="0.2">
      <c r="A34" s="142">
        <v>522202</v>
      </c>
      <c r="B34" s="163" t="s">
        <v>47</v>
      </c>
      <c r="C34" s="150" t="s">
        <v>81</v>
      </c>
      <c r="D34" s="150" t="s">
        <v>81</v>
      </c>
      <c r="E34" s="150" t="s">
        <v>81</v>
      </c>
      <c r="F34" s="150" t="s">
        <v>81</v>
      </c>
      <c r="G34" s="150" t="s">
        <v>81</v>
      </c>
      <c r="H34" s="150" t="s">
        <v>81</v>
      </c>
      <c r="I34" s="150" t="s">
        <v>81</v>
      </c>
      <c r="J34" s="150" t="s">
        <v>81</v>
      </c>
      <c r="K34" s="150" t="s">
        <v>81</v>
      </c>
      <c r="L34" s="150" t="s">
        <v>81</v>
      </c>
      <c r="M34" s="150" t="s">
        <v>81</v>
      </c>
      <c r="N34" s="150" t="s">
        <v>81</v>
      </c>
      <c r="O34" s="150" t="s">
        <v>81</v>
      </c>
      <c r="P34" s="150">
        <v>68594</v>
      </c>
      <c r="Q34" s="150" t="s">
        <v>81</v>
      </c>
      <c r="R34" s="150" t="s">
        <v>81</v>
      </c>
      <c r="S34" s="150" t="s">
        <v>81</v>
      </c>
      <c r="T34" s="150">
        <v>68594</v>
      </c>
      <c r="U34" s="149">
        <v>69571.87999999999</v>
      </c>
      <c r="V34" s="151">
        <v>-977.8799999999901</v>
      </c>
      <c r="W34" s="147">
        <v>-1.4055678817361127E-2</v>
      </c>
      <c r="X34" s="130"/>
    </row>
    <row r="35" spans="1:24" ht="12" customHeight="1" outlineLevel="1" x14ac:dyDescent="0.2">
      <c r="A35" s="142">
        <v>522301</v>
      </c>
      <c r="B35" s="163" t="s">
        <v>48</v>
      </c>
      <c r="C35" s="150" t="s">
        <v>81</v>
      </c>
      <c r="D35" s="150" t="s">
        <v>81</v>
      </c>
      <c r="E35" s="150" t="s">
        <v>81</v>
      </c>
      <c r="F35" s="150" t="s">
        <v>81</v>
      </c>
      <c r="G35" s="150" t="s">
        <v>81</v>
      </c>
      <c r="H35" s="150" t="s">
        <v>81</v>
      </c>
      <c r="I35" s="150" t="s">
        <v>81</v>
      </c>
      <c r="J35" s="150" t="s">
        <v>81</v>
      </c>
      <c r="K35" s="150" t="s">
        <v>81</v>
      </c>
      <c r="L35" s="150" t="s">
        <v>81</v>
      </c>
      <c r="M35" s="150" t="s">
        <v>81</v>
      </c>
      <c r="N35" s="150" t="s">
        <v>81</v>
      </c>
      <c r="O35" s="150" t="s">
        <v>81</v>
      </c>
      <c r="P35" s="150">
        <v>477583</v>
      </c>
      <c r="Q35" s="150" t="s">
        <v>81</v>
      </c>
      <c r="R35" s="150" t="s">
        <v>81</v>
      </c>
      <c r="S35" s="150" t="s">
        <v>81</v>
      </c>
      <c r="T35" s="150">
        <v>477583</v>
      </c>
      <c r="U35" s="149">
        <v>376000</v>
      </c>
      <c r="V35" s="151">
        <v>101583</v>
      </c>
      <c r="W35" s="147">
        <v>0.27016755319148938</v>
      </c>
      <c r="X35" s="130"/>
    </row>
    <row r="36" spans="1:24" ht="12" customHeight="1" outlineLevel="1" x14ac:dyDescent="0.2">
      <c r="A36" s="142">
        <v>522302</v>
      </c>
      <c r="B36" s="163" t="s">
        <v>49</v>
      </c>
      <c r="C36" s="150" t="s">
        <v>81</v>
      </c>
      <c r="D36" s="150" t="s">
        <v>81</v>
      </c>
      <c r="E36" s="150" t="s">
        <v>81</v>
      </c>
      <c r="F36" s="150" t="s">
        <v>81</v>
      </c>
      <c r="G36" s="150" t="s">
        <v>81</v>
      </c>
      <c r="H36" s="150" t="s">
        <v>81</v>
      </c>
      <c r="I36" s="150" t="s">
        <v>81</v>
      </c>
      <c r="J36" s="150" t="s">
        <v>81</v>
      </c>
      <c r="K36" s="150" t="s">
        <v>81</v>
      </c>
      <c r="L36" s="150" t="s">
        <v>81</v>
      </c>
      <c r="M36" s="150" t="s">
        <v>81</v>
      </c>
      <c r="N36" s="150">
        <v>35200</v>
      </c>
      <c r="O36" s="150" t="s">
        <v>81</v>
      </c>
      <c r="P36" s="150">
        <v>70000</v>
      </c>
      <c r="Q36" s="150" t="s">
        <v>81</v>
      </c>
      <c r="R36" s="150" t="s">
        <v>81</v>
      </c>
      <c r="S36" s="150" t="s">
        <v>81</v>
      </c>
      <c r="T36" s="150">
        <v>105200</v>
      </c>
      <c r="U36" s="149">
        <v>90550</v>
      </c>
      <c r="V36" s="151">
        <v>14650</v>
      </c>
      <c r="W36" s="147">
        <v>0.16178906681391497</v>
      </c>
      <c r="X36" s="130"/>
    </row>
    <row r="37" spans="1:24" ht="12" customHeight="1" outlineLevel="1" x14ac:dyDescent="0.2">
      <c r="A37" s="142">
        <v>523801</v>
      </c>
      <c r="B37" s="163" t="s">
        <v>50</v>
      </c>
      <c r="C37" s="150">
        <v>650</v>
      </c>
      <c r="D37" s="150" t="s">
        <v>81</v>
      </c>
      <c r="E37" s="150" t="s">
        <v>81</v>
      </c>
      <c r="F37" s="150" t="s">
        <v>81</v>
      </c>
      <c r="G37" s="150">
        <v>1055</v>
      </c>
      <c r="H37" s="150" t="s">
        <v>81</v>
      </c>
      <c r="I37" s="150" t="s">
        <v>81</v>
      </c>
      <c r="J37" s="150" t="s">
        <v>81</v>
      </c>
      <c r="K37" s="150" t="s">
        <v>81</v>
      </c>
      <c r="L37" s="150" t="s">
        <v>81</v>
      </c>
      <c r="M37" s="150" t="s">
        <v>81</v>
      </c>
      <c r="N37" s="150" t="s">
        <v>81</v>
      </c>
      <c r="O37" s="150">
        <v>100</v>
      </c>
      <c r="P37" s="150">
        <v>18826</v>
      </c>
      <c r="Q37" s="150">
        <v>300</v>
      </c>
      <c r="R37" s="150">
        <v>667</v>
      </c>
      <c r="S37" s="150" t="s">
        <v>81</v>
      </c>
      <c r="T37" s="150">
        <v>21598</v>
      </c>
      <c r="U37" s="149">
        <v>19842</v>
      </c>
      <c r="V37" s="151">
        <v>1756</v>
      </c>
      <c r="W37" s="147">
        <v>8.8499143231529076E-2</v>
      </c>
      <c r="X37" s="130"/>
    </row>
    <row r="38" spans="1:24" ht="12" customHeight="1" outlineLevel="1" x14ac:dyDescent="0.2">
      <c r="A38" s="142">
        <v>531102</v>
      </c>
      <c r="B38" s="163" t="s">
        <v>51</v>
      </c>
      <c r="C38" s="150" t="s">
        <v>81</v>
      </c>
      <c r="D38" s="150" t="s">
        <v>81</v>
      </c>
      <c r="E38" s="150" t="s">
        <v>81</v>
      </c>
      <c r="F38" s="150" t="s">
        <v>81</v>
      </c>
      <c r="G38" s="150" t="s">
        <v>81</v>
      </c>
      <c r="H38" s="150" t="s">
        <v>81</v>
      </c>
      <c r="I38" s="150" t="s">
        <v>81</v>
      </c>
      <c r="J38" s="150" t="s">
        <v>81</v>
      </c>
      <c r="K38" s="150">
        <v>948</v>
      </c>
      <c r="L38" s="150" t="s">
        <v>81</v>
      </c>
      <c r="M38" s="150" t="s">
        <v>81</v>
      </c>
      <c r="N38" s="150" t="s">
        <v>81</v>
      </c>
      <c r="O38" s="150">
        <v>81700</v>
      </c>
      <c r="P38" s="150">
        <v>6202030</v>
      </c>
      <c r="Q38" s="150" t="s">
        <v>81</v>
      </c>
      <c r="R38" s="150" t="s">
        <v>81</v>
      </c>
      <c r="S38" s="150">
        <v>204177</v>
      </c>
      <c r="T38" s="150">
        <v>6488855</v>
      </c>
      <c r="U38" s="149">
        <v>7316541.0499999998</v>
      </c>
      <c r="V38" s="151">
        <v>-827686.04999999981</v>
      </c>
      <c r="W38" s="147">
        <v>-0.11312532033152467</v>
      </c>
      <c r="X38" s="130"/>
    </row>
    <row r="39" spans="1:24" ht="12" customHeight="1" outlineLevel="1" x14ac:dyDescent="0.2">
      <c r="A39" s="142">
        <v>531107</v>
      </c>
      <c r="B39" s="163" t="s">
        <v>52</v>
      </c>
      <c r="C39" s="150" t="s">
        <v>81</v>
      </c>
      <c r="D39" s="150" t="s">
        <v>81</v>
      </c>
      <c r="E39" s="150" t="s">
        <v>81</v>
      </c>
      <c r="F39" s="150" t="s">
        <v>81</v>
      </c>
      <c r="G39" s="150" t="s">
        <v>81</v>
      </c>
      <c r="H39" s="150" t="s">
        <v>81</v>
      </c>
      <c r="I39" s="150" t="s">
        <v>81</v>
      </c>
      <c r="J39" s="150" t="s">
        <v>81</v>
      </c>
      <c r="K39" s="150" t="s">
        <v>81</v>
      </c>
      <c r="L39" s="150" t="s">
        <v>81</v>
      </c>
      <c r="M39" s="150" t="s">
        <v>81</v>
      </c>
      <c r="N39" s="150" t="s">
        <v>81</v>
      </c>
      <c r="O39" s="150" t="s">
        <v>81</v>
      </c>
      <c r="P39" s="150">
        <v>1760400</v>
      </c>
      <c r="Q39" s="150" t="s">
        <v>81</v>
      </c>
      <c r="R39" s="150" t="s">
        <v>81</v>
      </c>
      <c r="S39" s="150" t="s">
        <v>81</v>
      </c>
      <c r="T39" s="150">
        <v>1760400</v>
      </c>
      <c r="U39" s="149">
        <v>2250000</v>
      </c>
      <c r="V39" s="151">
        <v>-489600</v>
      </c>
      <c r="W39" s="147">
        <v>-0.21759999999999999</v>
      </c>
      <c r="X39" s="130"/>
    </row>
    <row r="40" spans="1:24" ht="12" customHeight="1" outlineLevel="1" x14ac:dyDescent="0.2">
      <c r="A40" s="142">
        <v>531211</v>
      </c>
      <c r="B40" s="163" t="s">
        <v>53</v>
      </c>
      <c r="C40" s="150" t="s">
        <v>81</v>
      </c>
      <c r="D40" s="150" t="s">
        <v>81</v>
      </c>
      <c r="E40" s="150" t="s">
        <v>81</v>
      </c>
      <c r="F40" s="150" t="s">
        <v>81</v>
      </c>
      <c r="G40" s="150" t="s">
        <v>81</v>
      </c>
      <c r="H40" s="150" t="s">
        <v>81</v>
      </c>
      <c r="I40" s="150" t="s">
        <v>81</v>
      </c>
      <c r="J40" s="150" t="s">
        <v>81</v>
      </c>
      <c r="K40" s="150" t="s">
        <v>81</v>
      </c>
      <c r="L40" s="150" t="s">
        <v>81</v>
      </c>
      <c r="M40" s="150" t="s">
        <v>81</v>
      </c>
      <c r="N40" s="150" t="s">
        <v>81</v>
      </c>
      <c r="O40" s="150" t="s">
        <v>81</v>
      </c>
      <c r="P40" s="150">
        <v>1236000</v>
      </c>
      <c r="Q40" s="150" t="s">
        <v>81</v>
      </c>
      <c r="R40" s="150" t="s">
        <v>81</v>
      </c>
      <c r="S40" s="150" t="s">
        <v>81</v>
      </c>
      <c r="T40" s="150">
        <v>1236000</v>
      </c>
      <c r="U40" s="149">
        <v>1200000</v>
      </c>
      <c r="V40" s="151">
        <v>36000</v>
      </c>
      <c r="W40" s="147">
        <v>0.03</v>
      </c>
      <c r="X40" s="130"/>
    </row>
    <row r="41" spans="1:24" ht="12" customHeight="1" outlineLevel="1" x14ac:dyDescent="0.2">
      <c r="A41" s="142">
        <v>531221</v>
      </c>
      <c r="B41" s="163" t="s">
        <v>54</v>
      </c>
      <c r="C41" s="150" t="s">
        <v>81</v>
      </c>
      <c r="D41" s="150" t="s">
        <v>81</v>
      </c>
      <c r="E41" s="150" t="s">
        <v>81</v>
      </c>
      <c r="F41" s="150" t="s">
        <v>81</v>
      </c>
      <c r="G41" s="150" t="s">
        <v>81</v>
      </c>
      <c r="H41" s="150" t="s">
        <v>81</v>
      </c>
      <c r="I41" s="150" t="s">
        <v>81</v>
      </c>
      <c r="J41" s="150" t="s">
        <v>81</v>
      </c>
      <c r="K41" s="150" t="s">
        <v>81</v>
      </c>
      <c r="L41" s="150" t="s">
        <v>81</v>
      </c>
      <c r="M41" s="150" t="s">
        <v>81</v>
      </c>
      <c r="N41" s="150" t="s">
        <v>81</v>
      </c>
      <c r="O41" s="150" t="s">
        <v>81</v>
      </c>
      <c r="P41" s="150">
        <v>75000</v>
      </c>
      <c r="Q41" s="150" t="s">
        <v>81</v>
      </c>
      <c r="R41" s="150" t="s">
        <v>81</v>
      </c>
      <c r="S41" s="150" t="s">
        <v>81</v>
      </c>
      <c r="T41" s="150">
        <v>75000</v>
      </c>
      <c r="U41" s="149">
        <v>72000</v>
      </c>
      <c r="V41" s="151">
        <v>3000</v>
      </c>
      <c r="W41" s="147">
        <v>4.1666666666666664E-2</v>
      </c>
      <c r="X41" s="130"/>
    </row>
    <row r="42" spans="1:24" ht="12" customHeight="1" outlineLevel="1" x14ac:dyDescent="0.2">
      <c r="A42" s="142">
        <v>531231</v>
      </c>
      <c r="B42" s="163" t="s">
        <v>55</v>
      </c>
      <c r="C42" s="150" t="s">
        <v>81</v>
      </c>
      <c r="D42" s="150" t="s">
        <v>81</v>
      </c>
      <c r="E42" s="150" t="s">
        <v>81</v>
      </c>
      <c r="F42" s="150" t="s">
        <v>81</v>
      </c>
      <c r="G42" s="150" t="s">
        <v>81</v>
      </c>
      <c r="H42" s="150" t="s">
        <v>81</v>
      </c>
      <c r="I42" s="150" t="s">
        <v>81</v>
      </c>
      <c r="J42" s="150" t="s">
        <v>81</v>
      </c>
      <c r="K42" s="150" t="s">
        <v>81</v>
      </c>
      <c r="L42" s="150" t="s">
        <v>81</v>
      </c>
      <c r="M42" s="150" t="s">
        <v>81</v>
      </c>
      <c r="N42" s="150" t="s">
        <v>81</v>
      </c>
      <c r="O42" s="150" t="s">
        <v>81</v>
      </c>
      <c r="P42" s="150">
        <v>2987000</v>
      </c>
      <c r="Q42" s="150" t="s">
        <v>81</v>
      </c>
      <c r="R42" s="150" t="s">
        <v>81</v>
      </c>
      <c r="S42" s="150" t="s">
        <v>81</v>
      </c>
      <c r="T42" s="150">
        <v>2987000</v>
      </c>
      <c r="U42" s="149">
        <v>2900000</v>
      </c>
      <c r="V42" s="149">
        <v>87000</v>
      </c>
      <c r="W42" s="147">
        <v>0.03</v>
      </c>
      <c r="X42" s="130"/>
    </row>
    <row r="43" spans="1:24" ht="12" customHeight="1" outlineLevel="1" x14ac:dyDescent="0.2">
      <c r="A43" s="142">
        <v>531601</v>
      </c>
      <c r="B43" s="163" t="s">
        <v>56</v>
      </c>
      <c r="C43" s="150" t="s">
        <v>81</v>
      </c>
      <c r="D43" s="150" t="s">
        <v>81</v>
      </c>
      <c r="E43" s="150" t="s">
        <v>81</v>
      </c>
      <c r="F43" s="150" t="s">
        <v>81</v>
      </c>
      <c r="G43" s="150" t="s">
        <v>81</v>
      </c>
      <c r="H43" s="150" t="s">
        <v>81</v>
      </c>
      <c r="I43" s="150" t="s">
        <v>81</v>
      </c>
      <c r="J43" s="150" t="s">
        <v>81</v>
      </c>
      <c r="K43" s="150" t="s">
        <v>81</v>
      </c>
      <c r="L43" s="150" t="s">
        <v>81</v>
      </c>
      <c r="M43" s="150" t="s">
        <v>81</v>
      </c>
      <c r="N43" s="150" t="s">
        <v>81</v>
      </c>
      <c r="O43" s="150" t="s">
        <v>81</v>
      </c>
      <c r="P43" s="150">
        <v>336860</v>
      </c>
      <c r="Q43" s="150" t="s">
        <v>81</v>
      </c>
      <c r="R43" s="150" t="s">
        <v>81</v>
      </c>
      <c r="S43" s="150" t="s">
        <v>81</v>
      </c>
      <c r="T43" s="150">
        <v>336860</v>
      </c>
      <c r="U43" s="149">
        <v>287802</v>
      </c>
      <c r="V43" s="151">
        <v>49058</v>
      </c>
      <c r="W43" s="147">
        <v>0.17045746728653727</v>
      </c>
      <c r="X43" s="130"/>
    </row>
    <row r="44" spans="1:24" ht="12" customHeight="1" x14ac:dyDescent="0.2">
      <c r="A44" s="142">
        <v>531701</v>
      </c>
      <c r="B44" s="163" t="s">
        <v>57</v>
      </c>
      <c r="C44" s="150" t="s">
        <v>81</v>
      </c>
      <c r="D44" s="150" t="s">
        <v>81</v>
      </c>
      <c r="E44" s="150" t="s">
        <v>81</v>
      </c>
      <c r="F44" s="150" t="s">
        <v>81</v>
      </c>
      <c r="G44" s="150" t="s">
        <v>81</v>
      </c>
      <c r="H44" s="150" t="s">
        <v>81</v>
      </c>
      <c r="I44" s="150" t="s">
        <v>81</v>
      </c>
      <c r="J44" s="150" t="s">
        <v>81</v>
      </c>
      <c r="K44" s="150" t="s">
        <v>81</v>
      </c>
      <c r="L44" s="150" t="s">
        <v>81</v>
      </c>
      <c r="M44" s="150" t="s">
        <v>81</v>
      </c>
      <c r="N44" s="150">
        <v>42650</v>
      </c>
      <c r="O44" s="150" t="s">
        <v>81</v>
      </c>
      <c r="P44" s="150">
        <v>309000</v>
      </c>
      <c r="Q44" s="150" t="s">
        <v>81</v>
      </c>
      <c r="R44" s="150" t="s">
        <v>81</v>
      </c>
      <c r="S44" s="150">
        <v>174596</v>
      </c>
      <c r="T44" s="150">
        <v>526246</v>
      </c>
      <c r="U44" s="149">
        <v>454458</v>
      </c>
      <c r="V44" s="151">
        <v>71788</v>
      </c>
      <c r="W44" s="147">
        <v>0.15796399227211316</v>
      </c>
      <c r="X44" s="130"/>
    </row>
    <row r="45" spans="1:24" s="162" customFormat="1" ht="12" customHeight="1" x14ac:dyDescent="0.2">
      <c r="A45" s="161"/>
      <c r="B45" s="155" t="s">
        <v>9</v>
      </c>
      <c r="C45" s="156">
        <v>650</v>
      </c>
      <c r="D45" s="156">
        <v>0</v>
      </c>
      <c r="E45" s="156">
        <v>0</v>
      </c>
      <c r="F45" s="156">
        <v>0</v>
      </c>
      <c r="G45" s="156">
        <v>1055</v>
      </c>
      <c r="H45" s="156">
        <v>0</v>
      </c>
      <c r="I45" s="156">
        <v>0</v>
      </c>
      <c r="J45" s="156">
        <v>0</v>
      </c>
      <c r="K45" s="156">
        <v>948</v>
      </c>
      <c r="L45" s="156">
        <v>0</v>
      </c>
      <c r="M45" s="156">
        <v>0</v>
      </c>
      <c r="N45" s="156">
        <v>77850</v>
      </c>
      <c r="O45" s="156">
        <v>10394138</v>
      </c>
      <c r="P45" s="156">
        <v>50534212.100000001</v>
      </c>
      <c r="Q45" s="156">
        <v>300</v>
      </c>
      <c r="R45" s="156">
        <v>667</v>
      </c>
      <c r="S45" s="156">
        <v>493273</v>
      </c>
      <c r="T45" s="156">
        <v>61503093.100000001</v>
      </c>
      <c r="U45" s="156">
        <v>60957948.93</v>
      </c>
      <c r="V45" s="156">
        <v>545144.17000000179</v>
      </c>
      <c r="W45" s="158">
        <v>8.9429546034432462E-3</v>
      </c>
      <c r="X45" s="130"/>
    </row>
    <row r="46" spans="1:24" ht="12" customHeight="1" x14ac:dyDescent="0.2">
      <c r="A46" s="142">
        <v>523201</v>
      </c>
      <c r="B46" s="163" t="s">
        <v>58</v>
      </c>
      <c r="C46" s="150" t="s">
        <v>81</v>
      </c>
      <c r="D46" s="150" t="s">
        <v>81</v>
      </c>
      <c r="E46" s="150" t="s">
        <v>81</v>
      </c>
      <c r="F46" s="150" t="s">
        <v>81</v>
      </c>
      <c r="G46" s="150" t="s">
        <v>81</v>
      </c>
      <c r="H46" s="150" t="s">
        <v>81</v>
      </c>
      <c r="I46" s="150" t="s">
        <v>81</v>
      </c>
      <c r="J46" s="150" t="s">
        <v>81</v>
      </c>
      <c r="K46" s="150" t="s">
        <v>81</v>
      </c>
      <c r="L46" s="150" t="s">
        <v>81</v>
      </c>
      <c r="M46" s="150" t="s">
        <v>81</v>
      </c>
      <c r="N46" s="150">
        <v>19750000</v>
      </c>
      <c r="O46" s="150" t="s">
        <v>81</v>
      </c>
      <c r="P46" s="150" t="s">
        <v>81</v>
      </c>
      <c r="Q46" s="150" t="s">
        <v>81</v>
      </c>
      <c r="R46" s="150" t="s">
        <v>81</v>
      </c>
      <c r="S46" s="150" t="s">
        <v>81</v>
      </c>
      <c r="T46" s="150">
        <v>19750000</v>
      </c>
      <c r="U46" s="149">
        <v>19100000</v>
      </c>
      <c r="V46" s="150">
        <v>650000</v>
      </c>
      <c r="W46" s="147">
        <v>3.4031413612565446E-2</v>
      </c>
      <c r="X46" s="130"/>
    </row>
    <row r="47" spans="1:24" ht="12" customHeight="1" x14ac:dyDescent="0.2">
      <c r="A47" s="142">
        <v>523202</v>
      </c>
      <c r="B47" s="163" t="s">
        <v>59</v>
      </c>
      <c r="C47" s="150" t="s">
        <v>81</v>
      </c>
      <c r="D47" s="150" t="s">
        <v>81</v>
      </c>
      <c r="E47" s="150" t="s">
        <v>81</v>
      </c>
      <c r="F47" s="150" t="s">
        <v>81</v>
      </c>
      <c r="G47" s="150" t="s">
        <v>81</v>
      </c>
      <c r="H47" s="150" t="s">
        <v>81</v>
      </c>
      <c r="I47" s="150" t="s">
        <v>81</v>
      </c>
      <c r="J47" s="150" t="s">
        <v>81</v>
      </c>
      <c r="K47" s="150" t="s">
        <v>81</v>
      </c>
      <c r="L47" s="150" t="s">
        <v>81</v>
      </c>
      <c r="M47" s="150" t="s">
        <v>81</v>
      </c>
      <c r="N47" s="150" t="s">
        <v>81</v>
      </c>
      <c r="O47" s="150">
        <v>1500000</v>
      </c>
      <c r="P47" s="150">
        <v>245000</v>
      </c>
      <c r="Q47" s="150" t="s">
        <v>81</v>
      </c>
      <c r="R47" s="150" t="s">
        <v>81</v>
      </c>
      <c r="S47" s="150" t="s">
        <v>81</v>
      </c>
      <c r="T47" s="150">
        <v>1745000</v>
      </c>
      <c r="U47" s="149">
        <v>1785000</v>
      </c>
      <c r="V47" s="151">
        <v>-40000</v>
      </c>
      <c r="W47" s="147">
        <v>-2.2408963585434174E-2</v>
      </c>
      <c r="X47" s="130"/>
    </row>
    <row r="48" spans="1:24" ht="12" customHeight="1" x14ac:dyDescent="0.2">
      <c r="A48" s="142">
        <v>523701</v>
      </c>
      <c r="B48" s="163" t="s">
        <v>60</v>
      </c>
      <c r="C48" s="150">
        <v>5000</v>
      </c>
      <c r="D48" s="150">
        <v>2628</v>
      </c>
      <c r="E48" s="150" t="s">
        <v>81</v>
      </c>
      <c r="F48" s="150">
        <v>68500</v>
      </c>
      <c r="G48" s="150">
        <v>16000</v>
      </c>
      <c r="H48" s="150">
        <v>10000</v>
      </c>
      <c r="I48" s="150">
        <v>15000</v>
      </c>
      <c r="J48" s="150">
        <v>2610</v>
      </c>
      <c r="K48" s="150">
        <v>11454</v>
      </c>
      <c r="L48" s="150" t="s">
        <v>81</v>
      </c>
      <c r="M48" s="150">
        <v>3090</v>
      </c>
      <c r="N48" s="150">
        <v>39805</v>
      </c>
      <c r="O48" s="150">
        <v>75400</v>
      </c>
      <c r="P48" s="150">
        <v>214015</v>
      </c>
      <c r="Q48" s="150">
        <v>15000</v>
      </c>
      <c r="R48" s="150">
        <v>10486</v>
      </c>
      <c r="S48" s="150">
        <v>55050</v>
      </c>
      <c r="T48" s="150">
        <v>544038</v>
      </c>
      <c r="U48" s="149">
        <v>432021</v>
      </c>
      <c r="V48" s="151">
        <v>112017</v>
      </c>
      <c r="W48" s="147">
        <v>0.25928600693021869</v>
      </c>
      <c r="X48" s="130"/>
    </row>
    <row r="49" spans="1:24" ht="12" customHeight="1" x14ac:dyDescent="0.2">
      <c r="A49" s="142">
        <v>531103</v>
      </c>
      <c r="B49" s="163" t="s">
        <v>61</v>
      </c>
      <c r="C49" s="150" t="s">
        <v>81</v>
      </c>
      <c r="D49" s="150" t="s">
        <v>81</v>
      </c>
      <c r="E49" s="150" t="s">
        <v>81</v>
      </c>
      <c r="F49" s="150" t="s">
        <v>81</v>
      </c>
      <c r="G49" s="150" t="s">
        <v>81</v>
      </c>
      <c r="H49" s="150" t="s">
        <v>81</v>
      </c>
      <c r="I49" s="150" t="s">
        <v>81</v>
      </c>
      <c r="J49" s="150" t="s">
        <v>81</v>
      </c>
      <c r="K49" s="150" t="s">
        <v>81</v>
      </c>
      <c r="L49" s="150" t="s">
        <v>81</v>
      </c>
      <c r="M49" s="150" t="s">
        <v>81</v>
      </c>
      <c r="N49" s="150" t="s">
        <v>81</v>
      </c>
      <c r="O49" s="150" t="s">
        <v>81</v>
      </c>
      <c r="P49" s="150">
        <v>2264000</v>
      </c>
      <c r="Q49" s="150" t="s">
        <v>81</v>
      </c>
      <c r="R49" s="150" t="s">
        <v>81</v>
      </c>
      <c r="S49" s="150" t="s">
        <v>81</v>
      </c>
      <c r="T49" s="150">
        <v>2264000</v>
      </c>
      <c r="U49" s="149">
        <v>2020000</v>
      </c>
      <c r="V49" s="151">
        <v>244000</v>
      </c>
      <c r="W49" s="147">
        <v>0.12079207920792079</v>
      </c>
      <c r="X49" s="130"/>
    </row>
    <row r="50" spans="1:24" ht="12" customHeight="1" x14ac:dyDescent="0.2">
      <c r="A50" s="142">
        <v>531501</v>
      </c>
      <c r="B50" s="163" t="s">
        <v>62</v>
      </c>
      <c r="C50" s="150" t="s">
        <v>81</v>
      </c>
      <c r="D50" s="150" t="s">
        <v>81</v>
      </c>
      <c r="E50" s="150" t="s">
        <v>81</v>
      </c>
      <c r="F50" s="150" t="s">
        <v>81</v>
      </c>
      <c r="G50" s="150" t="s">
        <v>81</v>
      </c>
      <c r="H50" s="150" t="s">
        <v>81</v>
      </c>
      <c r="I50" s="150" t="s">
        <v>81</v>
      </c>
      <c r="J50" s="150" t="s">
        <v>81</v>
      </c>
      <c r="K50" s="150" t="s">
        <v>81</v>
      </c>
      <c r="L50" s="150" t="s">
        <v>81</v>
      </c>
      <c r="M50" s="150" t="s">
        <v>81</v>
      </c>
      <c r="N50" s="150">
        <v>1750367</v>
      </c>
      <c r="O50" s="150" t="s">
        <v>81</v>
      </c>
      <c r="P50" s="150" t="s">
        <v>81</v>
      </c>
      <c r="Q50" s="150" t="s">
        <v>81</v>
      </c>
      <c r="R50" s="150" t="s">
        <v>81</v>
      </c>
      <c r="S50" s="150" t="s">
        <v>81</v>
      </c>
      <c r="T50" s="150">
        <v>1750367</v>
      </c>
      <c r="U50" s="149">
        <v>1750000</v>
      </c>
      <c r="V50" s="151">
        <v>367</v>
      </c>
      <c r="W50" s="153">
        <v>0</v>
      </c>
      <c r="X50" s="130"/>
    </row>
    <row r="51" spans="1:24" ht="12" customHeight="1" x14ac:dyDescent="0.2">
      <c r="A51" s="142">
        <v>531651</v>
      </c>
      <c r="B51" s="163" t="s">
        <v>63</v>
      </c>
      <c r="C51" s="150" t="s">
        <v>81</v>
      </c>
      <c r="D51" s="150" t="s">
        <v>81</v>
      </c>
      <c r="E51" s="150" t="s">
        <v>81</v>
      </c>
      <c r="F51" s="150" t="s">
        <v>81</v>
      </c>
      <c r="G51" s="150" t="s">
        <v>81</v>
      </c>
      <c r="H51" s="150">
        <v>80000</v>
      </c>
      <c r="I51" s="150" t="s">
        <v>81</v>
      </c>
      <c r="J51" s="150" t="s">
        <v>81</v>
      </c>
      <c r="K51" s="150" t="s">
        <v>81</v>
      </c>
      <c r="L51" s="150" t="s">
        <v>81</v>
      </c>
      <c r="M51" s="150" t="s">
        <v>81</v>
      </c>
      <c r="N51" s="150" t="s">
        <v>81</v>
      </c>
      <c r="O51" s="150">
        <v>13408914</v>
      </c>
      <c r="P51" s="150">
        <v>191575</v>
      </c>
      <c r="Q51" s="150" t="s">
        <v>81</v>
      </c>
      <c r="R51" s="150" t="s">
        <v>81</v>
      </c>
      <c r="S51" s="150" t="s">
        <v>81</v>
      </c>
      <c r="T51" s="150">
        <v>13680489</v>
      </c>
      <c r="U51" s="149">
        <v>13060331</v>
      </c>
      <c r="V51" s="151">
        <v>620158</v>
      </c>
      <c r="W51" s="147">
        <v>4.7484095158078304E-2</v>
      </c>
      <c r="X51" s="130"/>
    </row>
    <row r="52" spans="1:24" ht="12" customHeight="1" x14ac:dyDescent="0.2">
      <c r="A52" s="142">
        <v>573002</v>
      </c>
      <c r="B52" s="163" t="s">
        <v>64</v>
      </c>
      <c r="C52" s="150" t="s">
        <v>81</v>
      </c>
      <c r="D52" s="150" t="s">
        <v>81</v>
      </c>
      <c r="E52" s="150" t="s">
        <v>81</v>
      </c>
      <c r="F52" s="150" t="s">
        <v>81</v>
      </c>
      <c r="G52" s="150" t="s">
        <v>81</v>
      </c>
      <c r="H52" s="150" t="s">
        <v>81</v>
      </c>
      <c r="I52" s="150" t="s">
        <v>81</v>
      </c>
      <c r="J52" s="150" t="s">
        <v>81</v>
      </c>
      <c r="K52" s="150" t="s">
        <v>81</v>
      </c>
      <c r="L52" s="150" t="s">
        <v>81</v>
      </c>
      <c r="M52" s="150" t="s">
        <v>81</v>
      </c>
      <c r="N52" s="150">
        <v>50000000</v>
      </c>
      <c r="O52" s="150" t="s">
        <v>81</v>
      </c>
      <c r="P52" s="150" t="s">
        <v>81</v>
      </c>
      <c r="Q52" s="150" t="s">
        <v>81</v>
      </c>
      <c r="R52" s="150" t="s">
        <v>81</v>
      </c>
      <c r="S52" s="150" t="s">
        <v>81</v>
      </c>
      <c r="T52" s="150">
        <v>50000000</v>
      </c>
      <c r="U52" s="149">
        <v>41500000</v>
      </c>
      <c r="V52" s="151">
        <v>8500000</v>
      </c>
      <c r="W52" s="147">
        <v>0.20481927710843373</v>
      </c>
      <c r="X52" s="130"/>
    </row>
    <row r="53" spans="1:24" s="162" customFormat="1" ht="12" customHeight="1" x14ac:dyDescent="0.2">
      <c r="A53" s="161"/>
      <c r="B53" s="155" t="s">
        <v>10</v>
      </c>
      <c r="C53" s="156">
        <v>5000</v>
      </c>
      <c r="D53" s="156">
        <v>2628</v>
      </c>
      <c r="E53" s="156">
        <v>0</v>
      </c>
      <c r="F53" s="156">
        <v>68500</v>
      </c>
      <c r="G53" s="156">
        <v>16000</v>
      </c>
      <c r="H53" s="156">
        <v>90000</v>
      </c>
      <c r="I53" s="156">
        <v>15000</v>
      </c>
      <c r="J53" s="156">
        <v>2610</v>
      </c>
      <c r="K53" s="156">
        <v>11454</v>
      </c>
      <c r="L53" s="156">
        <v>0</v>
      </c>
      <c r="M53" s="156">
        <v>3090</v>
      </c>
      <c r="N53" s="156">
        <v>71540172</v>
      </c>
      <c r="O53" s="156">
        <v>14984314</v>
      </c>
      <c r="P53" s="156">
        <v>2914590</v>
      </c>
      <c r="Q53" s="156">
        <v>15000</v>
      </c>
      <c r="R53" s="156">
        <v>10486</v>
      </c>
      <c r="S53" s="156">
        <v>55050</v>
      </c>
      <c r="T53" s="156">
        <v>89733894</v>
      </c>
      <c r="U53" s="156">
        <v>79647352</v>
      </c>
      <c r="V53" s="156">
        <v>10086542</v>
      </c>
      <c r="W53" s="158">
        <v>0.12664001685831314</v>
      </c>
      <c r="X53" s="130"/>
    </row>
    <row r="54" spans="1:24" ht="12" customHeight="1" x14ac:dyDescent="0.2">
      <c r="A54" s="142">
        <v>523203</v>
      </c>
      <c r="B54" s="163" t="s">
        <v>33</v>
      </c>
      <c r="C54" s="150" t="s">
        <v>81</v>
      </c>
      <c r="D54" s="150" t="s">
        <v>81</v>
      </c>
      <c r="E54" s="150" t="s">
        <v>81</v>
      </c>
      <c r="F54" s="150" t="s">
        <v>81</v>
      </c>
      <c r="G54" s="150" t="s">
        <v>81</v>
      </c>
      <c r="H54" s="150" t="s">
        <v>81</v>
      </c>
      <c r="I54" s="150">
        <v>30000</v>
      </c>
      <c r="J54" s="150" t="s">
        <v>81</v>
      </c>
      <c r="K54" s="150" t="s">
        <v>81</v>
      </c>
      <c r="L54" s="150" t="s">
        <v>81</v>
      </c>
      <c r="M54" s="150" t="s">
        <v>81</v>
      </c>
      <c r="N54" s="150" t="s">
        <v>81</v>
      </c>
      <c r="O54" s="150" t="s">
        <v>81</v>
      </c>
      <c r="P54" s="150" t="s">
        <v>81</v>
      </c>
      <c r="Q54" s="150" t="s">
        <v>81</v>
      </c>
      <c r="R54" s="150" t="s">
        <v>81</v>
      </c>
      <c r="S54" s="150" t="s">
        <v>81</v>
      </c>
      <c r="T54" s="150">
        <v>30000</v>
      </c>
      <c r="U54" s="149">
        <v>13369</v>
      </c>
      <c r="V54" s="149">
        <v>16631</v>
      </c>
      <c r="W54" s="147">
        <v>1.2439973072032313</v>
      </c>
      <c r="X54" s="130"/>
    </row>
    <row r="55" spans="1:24" ht="12" hidden="1" customHeight="1" x14ac:dyDescent="0.2">
      <c r="A55" s="142">
        <v>523302</v>
      </c>
      <c r="B55" s="163" t="s">
        <v>77</v>
      </c>
      <c r="C55" s="150">
        <v>0</v>
      </c>
      <c r="D55" s="150">
        <v>0</v>
      </c>
      <c r="E55" s="150">
        <v>0</v>
      </c>
      <c r="F55" s="150">
        <v>0</v>
      </c>
      <c r="G55" s="150">
        <v>0</v>
      </c>
      <c r="H55" s="150">
        <v>0</v>
      </c>
      <c r="I55" s="150">
        <v>0</v>
      </c>
      <c r="J55" s="150">
        <v>0</v>
      </c>
      <c r="K55" s="150">
        <v>0</v>
      </c>
      <c r="L55" s="150">
        <v>0</v>
      </c>
      <c r="M55" s="150">
        <v>0</v>
      </c>
      <c r="N55" s="150">
        <v>0</v>
      </c>
      <c r="O55" s="150">
        <v>0</v>
      </c>
      <c r="P55" s="150">
        <v>0</v>
      </c>
      <c r="Q55" s="150">
        <v>0</v>
      </c>
      <c r="R55" s="150">
        <v>0</v>
      </c>
      <c r="S55" s="150">
        <v>0</v>
      </c>
      <c r="T55" s="150">
        <v>0</v>
      </c>
      <c r="U55" s="164">
        <v>0</v>
      </c>
      <c r="V55" s="151">
        <v>0</v>
      </c>
      <c r="W55" s="153">
        <v>0</v>
      </c>
      <c r="X55" s="130"/>
    </row>
    <row r="56" spans="1:24" ht="12" hidden="1" customHeight="1" x14ac:dyDescent="0.2">
      <c r="A56" s="142">
        <v>523303</v>
      </c>
      <c r="B56" s="163" t="s">
        <v>34</v>
      </c>
      <c r="C56" s="150">
        <v>0</v>
      </c>
      <c r="D56" s="150">
        <v>0</v>
      </c>
      <c r="E56" s="150">
        <v>0</v>
      </c>
      <c r="F56" s="150">
        <v>0</v>
      </c>
      <c r="G56" s="150">
        <v>0</v>
      </c>
      <c r="H56" s="150">
        <v>0</v>
      </c>
      <c r="I56" s="150">
        <v>0</v>
      </c>
      <c r="J56" s="150">
        <v>0</v>
      </c>
      <c r="K56" s="150">
        <v>0</v>
      </c>
      <c r="L56" s="150">
        <v>0</v>
      </c>
      <c r="M56" s="150">
        <v>0</v>
      </c>
      <c r="N56" s="150">
        <v>0</v>
      </c>
      <c r="O56" s="150">
        <v>0</v>
      </c>
      <c r="P56" s="150">
        <v>0</v>
      </c>
      <c r="Q56" s="150">
        <v>0</v>
      </c>
      <c r="R56" s="150">
        <v>0</v>
      </c>
      <c r="S56" s="150">
        <v>0</v>
      </c>
      <c r="T56" s="150">
        <v>0</v>
      </c>
      <c r="U56" s="164">
        <v>0</v>
      </c>
      <c r="V56" s="151">
        <v>0</v>
      </c>
      <c r="W56" s="153">
        <v>0</v>
      </c>
      <c r="X56" s="130"/>
    </row>
    <row r="57" spans="1:24" ht="12" customHeight="1" x14ac:dyDescent="0.2">
      <c r="A57" s="142">
        <v>523304</v>
      </c>
      <c r="B57" s="163" t="s">
        <v>35</v>
      </c>
      <c r="C57" s="150">
        <v>1000</v>
      </c>
      <c r="D57" s="150" t="s">
        <v>81</v>
      </c>
      <c r="E57" s="150" t="s">
        <v>81</v>
      </c>
      <c r="F57" s="150">
        <v>16000</v>
      </c>
      <c r="G57" s="150" t="s">
        <v>81</v>
      </c>
      <c r="H57" s="150" t="s">
        <v>81</v>
      </c>
      <c r="I57" s="150" t="s">
        <v>81</v>
      </c>
      <c r="J57" s="150">
        <v>124525</v>
      </c>
      <c r="K57" s="150">
        <v>1715841</v>
      </c>
      <c r="L57" s="150" t="s">
        <v>81</v>
      </c>
      <c r="M57" s="150">
        <v>700</v>
      </c>
      <c r="N57" s="150">
        <v>50000</v>
      </c>
      <c r="O57" s="150" t="s">
        <v>81</v>
      </c>
      <c r="P57" s="150" t="s">
        <v>81</v>
      </c>
      <c r="Q57" s="150" t="s">
        <v>81</v>
      </c>
      <c r="R57" s="150" t="s">
        <v>81</v>
      </c>
      <c r="S57" s="150">
        <v>6229</v>
      </c>
      <c r="T57" s="150">
        <v>1914295</v>
      </c>
      <c r="U57" s="164">
        <v>1963273</v>
      </c>
      <c r="V57" s="151">
        <v>-48978</v>
      </c>
      <c r="W57" s="147">
        <v>-2.4947116371487818E-2</v>
      </c>
      <c r="X57" s="130"/>
    </row>
    <row r="58" spans="1:24" ht="12" customHeight="1" x14ac:dyDescent="0.2">
      <c r="A58" s="142">
        <v>523306</v>
      </c>
      <c r="B58" s="163" t="s">
        <v>200</v>
      </c>
      <c r="C58" s="150" t="s">
        <v>81</v>
      </c>
      <c r="D58" s="150" t="s">
        <v>81</v>
      </c>
      <c r="E58" s="150" t="s">
        <v>81</v>
      </c>
      <c r="F58" s="150" t="s">
        <v>81</v>
      </c>
      <c r="G58" s="150" t="s">
        <v>81</v>
      </c>
      <c r="H58" s="150" t="s">
        <v>81</v>
      </c>
      <c r="I58" s="150" t="s">
        <v>81</v>
      </c>
      <c r="J58" s="150" t="s">
        <v>81</v>
      </c>
      <c r="K58" s="150">
        <v>2256053</v>
      </c>
      <c r="L58" s="150" t="s">
        <v>81</v>
      </c>
      <c r="M58" s="150" t="s">
        <v>81</v>
      </c>
      <c r="N58" s="150" t="s">
        <v>81</v>
      </c>
      <c r="O58" s="150" t="s">
        <v>81</v>
      </c>
      <c r="P58" s="150" t="s">
        <v>81</v>
      </c>
      <c r="Q58" s="150" t="s">
        <v>81</v>
      </c>
      <c r="R58" s="150" t="s">
        <v>81</v>
      </c>
      <c r="S58" s="150" t="s">
        <v>81</v>
      </c>
      <c r="T58" s="150">
        <v>2256053</v>
      </c>
      <c r="U58" s="164">
        <v>2169282</v>
      </c>
      <c r="V58" s="151">
        <v>86771</v>
      </c>
      <c r="W58" s="147">
        <v>3.9999870925034181E-2</v>
      </c>
      <c r="X58" s="130"/>
    </row>
    <row r="59" spans="1:24" ht="12" customHeight="1" x14ac:dyDescent="0.2">
      <c r="A59" s="142">
        <v>523307</v>
      </c>
      <c r="B59" s="163" t="s">
        <v>201</v>
      </c>
      <c r="C59" s="150" t="s">
        <v>81</v>
      </c>
      <c r="D59" s="150" t="s">
        <v>81</v>
      </c>
      <c r="E59" s="150" t="s">
        <v>81</v>
      </c>
      <c r="F59" s="150" t="s">
        <v>81</v>
      </c>
      <c r="G59" s="150" t="s">
        <v>81</v>
      </c>
      <c r="H59" s="150" t="s">
        <v>81</v>
      </c>
      <c r="I59" s="150" t="s">
        <v>81</v>
      </c>
      <c r="J59" s="150" t="s">
        <v>81</v>
      </c>
      <c r="K59" s="150">
        <v>700000</v>
      </c>
      <c r="L59" s="150" t="s">
        <v>81</v>
      </c>
      <c r="M59" s="150" t="s">
        <v>81</v>
      </c>
      <c r="N59" s="150" t="s">
        <v>81</v>
      </c>
      <c r="O59" s="150" t="s">
        <v>81</v>
      </c>
      <c r="P59" s="150" t="s">
        <v>81</v>
      </c>
      <c r="Q59" s="150" t="s">
        <v>81</v>
      </c>
      <c r="R59" s="150" t="s">
        <v>81</v>
      </c>
      <c r="S59" s="150" t="s">
        <v>81</v>
      </c>
      <c r="T59" s="150">
        <v>700000</v>
      </c>
      <c r="U59" s="164">
        <v>700000</v>
      </c>
      <c r="V59" s="153">
        <v>0</v>
      </c>
      <c r="W59" s="153">
        <v>0</v>
      </c>
      <c r="X59" s="130"/>
    </row>
    <row r="60" spans="1:24" ht="12" customHeight="1" x14ac:dyDescent="0.2">
      <c r="A60" s="142">
        <v>523401</v>
      </c>
      <c r="B60" s="163" t="s">
        <v>36</v>
      </c>
      <c r="C60" s="150">
        <v>2500</v>
      </c>
      <c r="D60" s="150" t="s">
        <v>81</v>
      </c>
      <c r="E60" s="150" t="s">
        <v>81</v>
      </c>
      <c r="F60" s="150" t="s">
        <v>81</v>
      </c>
      <c r="G60" s="150" t="s">
        <v>81</v>
      </c>
      <c r="H60" s="150" t="s">
        <v>81</v>
      </c>
      <c r="I60" s="150" t="s">
        <v>81</v>
      </c>
      <c r="J60" s="150" t="s">
        <v>81</v>
      </c>
      <c r="K60" s="150">
        <v>7000</v>
      </c>
      <c r="L60" s="150" t="s">
        <v>81</v>
      </c>
      <c r="M60" s="150">
        <v>12000</v>
      </c>
      <c r="N60" s="150" t="s">
        <v>81</v>
      </c>
      <c r="O60" s="150">
        <v>10000</v>
      </c>
      <c r="P60" s="150" t="s">
        <v>81</v>
      </c>
      <c r="Q60" s="150" t="s">
        <v>81</v>
      </c>
      <c r="R60" s="150" t="s">
        <v>81</v>
      </c>
      <c r="S60" s="150" t="s">
        <v>81</v>
      </c>
      <c r="T60" s="150">
        <v>31500</v>
      </c>
      <c r="U60" s="164">
        <v>13431</v>
      </c>
      <c r="V60" s="151">
        <v>18069</v>
      </c>
      <c r="W60" s="147">
        <v>1.345320527138709</v>
      </c>
      <c r="X60" s="130"/>
    </row>
    <row r="61" spans="1:24" ht="12" hidden="1" customHeight="1" x14ac:dyDescent="0.2">
      <c r="A61" s="142">
        <v>523402</v>
      </c>
      <c r="B61" s="143" t="s">
        <v>37</v>
      </c>
      <c r="C61" s="149">
        <v>0</v>
      </c>
      <c r="D61" s="149">
        <v>0</v>
      </c>
      <c r="E61" s="149">
        <v>0</v>
      </c>
      <c r="F61" s="148">
        <v>0</v>
      </c>
      <c r="G61" s="148">
        <v>0</v>
      </c>
      <c r="H61" s="149">
        <v>0</v>
      </c>
      <c r="I61" s="148">
        <v>0</v>
      </c>
      <c r="J61" s="149">
        <v>0</v>
      </c>
      <c r="K61" s="148">
        <v>0</v>
      </c>
      <c r="L61" s="148">
        <v>0</v>
      </c>
      <c r="M61" s="149">
        <v>0</v>
      </c>
      <c r="N61" s="148">
        <v>0</v>
      </c>
      <c r="O61" s="148">
        <v>0</v>
      </c>
      <c r="P61" s="149">
        <v>0</v>
      </c>
      <c r="Q61" s="148">
        <v>0</v>
      </c>
      <c r="R61" s="148">
        <v>0</v>
      </c>
      <c r="S61" s="148">
        <v>0</v>
      </c>
      <c r="T61" s="150">
        <v>0</v>
      </c>
      <c r="U61" s="164">
        <v>0</v>
      </c>
      <c r="V61" s="151">
        <v>0</v>
      </c>
      <c r="W61" s="153">
        <v>0</v>
      </c>
      <c r="X61" s="130"/>
    </row>
    <row r="62" spans="1:24" s="162" customFormat="1" ht="12" customHeight="1" x14ac:dyDescent="0.2">
      <c r="A62" s="161"/>
      <c r="B62" s="155" t="s">
        <v>18</v>
      </c>
      <c r="C62" s="156">
        <v>3500</v>
      </c>
      <c r="D62" s="156">
        <v>0</v>
      </c>
      <c r="E62" s="156">
        <v>0</v>
      </c>
      <c r="F62" s="156">
        <v>16000</v>
      </c>
      <c r="G62" s="156">
        <v>0</v>
      </c>
      <c r="H62" s="156">
        <v>0</v>
      </c>
      <c r="I62" s="156">
        <v>30000</v>
      </c>
      <c r="J62" s="156">
        <v>124525</v>
      </c>
      <c r="K62" s="156">
        <v>4678894</v>
      </c>
      <c r="L62" s="156">
        <v>0</v>
      </c>
      <c r="M62" s="156">
        <v>12700</v>
      </c>
      <c r="N62" s="156">
        <v>50000</v>
      </c>
      <c r="O62" s="156">
        <v>10000</v>
      </c>
      <c r="P62" s="156">
        <v>0</v>
      </c>
      <c r="Q62" s="156">
        <v>0</v>
      </c>
      <c r="R62" s="156">
        <v>0</v>
      </c>
      <c r="S62" s="156">
        <v>6229</v>
      </c>
      <c r="T62" s="156">
        <v>4931848</v>
      </c>
      <c r="U62" s="156">
        <v>4859355</v>
      </c>
      <c r="V62" s="156">
        <v>72493</v>
      </c>
      <c r="W62" s="158">
        <v>1.4918235033250297E-2</v>
      </c>
      <c r="X62" s="130"/>
    </row>
    <row r="63" spans="1:24" ht="12" customHeight="1" x14ac:dyDescent="0.2">
      <c r="A63" s="142">
        <v>521101</v>
      </c>
      <c r="B63" s="163" t="s">
        <v>22</v>
      </c>
      <c r="C63" s="150">
        <v>6100</v>
      </c>
      <c r="D63" s="150">
        <v>15000</v>
      </c>
      <c r="E63" s="150">
        <v>83918</v>
      </c>
      <c r="F63" s="150">
        <v>20000</v>
      </c>
      <c r="G63" s="150">
        <v>2000</v>
      </c>
      <c r="H63" s="150">
        <v>3500</v>
      </c>
      <c r="I63" s="150">
        <v>2500</v>
      </c>
      <c r="J63" s="150">
        <v>10500</v>
      </c>
      <c r="K63" s="150">
        <v>10500</v>
      </c>
      <c r="L63" s="150" t="s">
        <v>81</v>
      </c>
      <c r="M63" s="150">
        <v>500</v>
      </c>
      <c r="N63" s="150">
        <v>34952</v>
      </c>
      <c r="O63" s="150">
        <v>2000</v>
      </c>
      <c r="P63" s="150">
        <v>10100</v>
      </c>
      <c r="Q63" s="150">
        <v>8000</v>
      </c>
      <c r="R63" s="150">
        <v>500</v>
      </c>
      <c r="S63" s="150">
        <v>1000</v>
      </c>
      <c r="T63" s="150">
        <v>211070</v>
      </c>
      <c r="U63" s="149">
        <v>180464</v>
      </c>
      <c r="V63" s="150">
        <v>30606</v>
      </c>
      <c r="W63" s="147">
        <v>0.16959615214114726</v>
      </c>
      <c r="X63" s="130"/>
    </row>
    <row r="64" spans="1:24" ht="12" customHeight="1" x14ac:dyDescent="0.2">
      <c r="A64" s="142">
        <v>523101</v>
      </c>
      <c r="B64" s="163" t="s">
        <v>23</v>
      </c>
      <c r="C64" s="150" t="s">
        <v>81</v>
      </c>
      <c r="D64" s="150" t="s">
        <v>81</v>
      </c>
      <c r="E64" s="150" t="s">
        <v>81</v>
      </c>
      <c r="F64" s="150" t="s">
        <v>81</v>
      </c>
      <c r="G64" s="150" t="s">
        <v>81</v>
      </c>
      <c r="H64" s="150" t="s">
        <v>81</v>
      </c>
      <c r="I64" s="150" t="s">
        <v>81</v>
      </c>
      <c r="J64" s="150" t="s">
        <v>81</v>
      </c>
      <c r="K64" s="150" t="s">
        <v>81</v>
      </c>
      <c r="L64" s="150" t="s">
        <v>81</v>
      </c>
      <c r="M64" s="150" t="s">
        <v>81</v>
      </c>
      <c r="N64" s="150" t="s">
        <v>81</v>
      </c>
      <c r="O64" s="150" t="s">
        <v>81</v>
      </c>
      <c r="P64" s="150">
        <v>500</v>
      </c>
      <c r="Q64" s="150" t="s">
        <v>81</v>
      </c>
      <c r="R64" s="150" t="s">
        <v>81</v>
      </c>
      <c r="S64" s="150">
        <v>6487528</v>
      </c>
      <c r="T64" s="150">
        <v>6488028</v>
      </c>
      <c r="U64" s="149">
        <v>6637528</v>
      </c>
      <c r="V64" s="151">
        <v>-149500</v>
      </c>
      <c r="W64" s="147">
        <v>-2.2523445475484245E-2</v>
      </c>
      <c r="X64" s="130"/>
    </row>
    <row r="65" spans="1:24" ht="12" customHeight="1" x14ac:dyDescent="0.2">
      <c r="A65" s="142">
        <v>523305</v>
      </c>
      <c r="B65" s="163" t="s">
        <v>25</v>
      </c>
      <c r="C65" s="150" t="s">
        <v>81</v>
      </c>
      <c r="D65" s="150" t="s">
        <v>81</v>
      </c>
      <c r="E65" s="150" t="s">
        <v>81</v>
      </c>
      <c r="F65" s="150" t="s">
        <v>81</v>
      </c>
      <c r="G65" s="150">
        <v>800</v>
      </c>
      <c r="H65" s="150" t="s">
        <v>81</v>
      </c>
      <c r="I65" s="150" t="s">
        <v>81</v>
      </c>
      <c r="J65" s="150" t="s">
        <v>81</v>
      </c>
      <c r="K65" s="150">
        <v>54678</v>
      </c>
      <c r="L65" s="150">
        <v>1000</v>
      </c>
      <c r="M65" s="150" t="s">
        <v>81</v>
      </c>
      <c r="N65" s="150">
        <v>25000</v>
      </c>
      <c r="O65" s="150" t="s">
        <v>81</v>
      </c>
      <c r="P65" s="150">
        <v>10600</v>
      </c>
      <c r="Q65" s="150" t="s">
        <v>81</v>
      </c>
      <c r="R65" s="150" t="s">
        <v>81</v>
      </c>
      <c r="S65" s="150" t="s">
        <v>81</v>
      </c>
      <c r="T65" s="150">
        <v>92078</v>
      </c>
      <c r="U65" s="149">
        <v>55478</v>
      </c>
      <c r="V65" s="151">
        <v>36600</v>
      </c>
      <c r="W65" s="147">
        <v>0.65972097047478284</v>
      </c>
      <c r="X65" s="130"/>
    </row>
    <row r="66" spans="1:24" ht="12" customHeight="1" x14ac:dyDescent="0.2">
      <c r="A66" s="142">
        <v>523501</v>
      </c>
      <c r="B66" s="163" t="s">
        <v>26</v>
      </c>
      <c r="C66" s="150">
        <v>10000</v>
      </c>
      <c r="D66" s="150">
        <v>25000</v>
      </c>
      <c r="E66" s="150">
        <v>9926</v>
      </c>
      <c r="F66" s="150">
        <v>11500</v>
      </c>
      <c r="G66" s="150">
        <v>6000</v>
      </c>
      <c r="H66" s="150">
        <v>13209</v>
      </c>
      <c r="I66" s="150">
        <v>18000</v>
      </c>
      <c r="J66" s="150">
        <v>7100</v>
      </c>
      <c r="K66" s="150">
        <v>22000</v>
      </c>
      <c r="L66" s="150" t="s">
        <v>81</v>
      </c>
      <c r="M66" s="150">
        <v>5000</v>
      </c>
      <c r="N66" s="150">
        <v>22543</v>
      </c>
      <c r="O66" s="150">
        <v>68000</v>
      </c>
      <c r="P66" s="150">
        <v>182686</v>
      </c>
      <c r="Q66" s="150">
        <v>50000</v>
      </c>
      <c r="R66" s="150">
        <v>5000</v>
      </c>
      <c r="S66" s="150">
        <v>18191</v>
      </c>
      <c r="T66" s="150">
        <v>474155</v>
      </c>
      <c r="U66" s="149">
        <v>449193</v>
      </c>
      <c r="V66" s="151">
        <v>24962</v>
      </c>
      <c r="W66" s="147">
        <v>5.5570768021763473E-2</v>
      </c>
      <c r="X66" s="130"/>
    </row>
    <row r="67" spans="1:24" ht="12" customHeight="1" x14ac:dyDescent="0.2">
      <c r="A67" s="142">
        <v>523601</v>
      </c>
      <c r="B67" s="163" t="s">
        <v>27</v>
      </c>
      <c r="C67" s="150">
        <v>6000</v>
      </c>
      <c r="D67" s="150">
        <v>68000</v>
      </c>
      <c r="E67" s="150">
        <v>8500</v>
      </c>
      <c r="F67" s="150">
        <v>5700</v>
      </c>
      <c r="G67" s="150">
        <v>5100</v>
      </c>
      <c r="H67" s="150">
        <v>15000</v>
      </c>
      <c r="I67" s="150">
        <v>10000</v>
      </c>
      <c r="J67" s="150">
        <v>58488</v>
      </c>
      <c r="K67" s="150">
        <v>25000</v>
      </c>
      <c r="L67" s="150">
        <v>1500</v>
      </c>
      <c r="M67" s="150">
        <v>1500</v>
      </c>
      <c r="N67" s="150">
        <v>63844</v>
      </c>
      <c r="O67" s="150">
        <v>14150</v>
      </c>
      <c r="P67" s="150">
        <v>15575</v>
      </c>
      <c r="Q67" s="150">
        <v>16000</v>
      </c>
      <c r="R67" s="150">
        <v>6157</v>
      </c>
      <c r="S67" s="150">
        <v>6011</v>
      </c>
      <c r="T67" s="150">
        <v>326525</v>
      </c>
      <c r="U67" s="149">
        <v>294162.25</v>
      </c>
      <c r="V67" s="151">
        <v>32362.75</v>
      </c>
      <c r="W67" s="147">
        <v>0.11001666597260526</v>
      </c>
      <c r="X67" s="130"/>
    </row>
    <row r="68" spans="1:24" ht="12" customHeight="1" x14ac:dyDescent="0.2">
      <c r="A68" s="142">
        <v>523902</v>
      </c>
      <c r="B68" s="163" t="s">
        <v>28</v>
      </c>
      <c r="C68" s="150" t="s">
        <v>81</v>
      </c>
      <c r="D68" s="150" t="s">
        <v>81</v>
      </c>
      <c r="E68" s="150" t="s">
        <v>81</v>
      </c>
      <c r="F68" s="150" t="s">
        <v>81</v>
      </c>
      <c r="G68" s="150" t="s">
        <v>81</v>
      </c>
      <c r="H68" s="150" t="s">
        <v>81</v>
      </c>
      <c r="I68" s="150" t="s">
        <v>81</v>
      </c>
      <c r="J68" s="150" t="s">
        <v>81</v>
      </c>
      <c r="K68" s="150" t="s">
        <v>81</v>
      </c>
      <c r="L68" s="150" t="s">
        <v>81</v>
      </c>
      <c r="M68" s="150" t="s">
        <v>81</v>
      </c>
      <c r="N68" s="150" t="s">
        <v>81</v>
      </c>
      <c r="O68" s="150" t="s">
        <v>81</v>
      </c>
      <c r="P68" s="150" t="s">
        <v>81</v>
      </c>
      <c r="Q68" s="150" t="s">
        <v>81</v>
      </c>
      <c r="R68" s="150" t="s">
        <v>81</v>
      </c>
      <c r="S68" s="150">
        <v>9800</v>
      </c>
      <c r="T68" s="150">
        <v>9800</v>
      </c>
      <c r="U68" s="149">
        <v>9800</v>
      </c>
      <c r="V68" s="149">
        <v>0</v>
      </c>
      <c r="W68" s="153">
        <v>0</v>
      </c>
      <c r="X68" s="130"/>
    </row>
    <row r="69" spans="1:24" ht="12" customHeight="1" x14ac:dyDescent="0.2">
      <c r="A69" s="142">
        <v>531101</v>
      </c>
      <c r="B69" s="163" t="s">
        <v>29</v>
      </c>
      <c r="C69" s="150">
        <v>3500</v>
      </c>
      <c r="D69" s="150">
        <v>400</v>
      </c>
      <c r="E69" s="150">
        <v>2020</v>
      </c>
      <c r="F69" s="150">
        <v>5000</v>
      </c>
      <c r="G69" s="150">
        <v>850</v>
      </c>
      <c r="H69" s="150">
        <v>42329</v>
      </c>
      <c r="I69" s="150">
        <v>4000</v>
      </c>
      <c r="J69" s="150">
        <v>300</v>
      </c>
      <c r="K69" s="150">
        <v>5133</v>
      </c>
      <c r="L69" s="150">
        <v>229000</v>
      </c>
      <c r="M69" s="150">
        <v>1105</v>
      </c>
      <c r="N69" s="150">
        <v>104236</v>
      </c>
      <c r="O69" s="150">
        <v>20200</v>
      </c>
      <c r="P69" s="150">
        <v>23300</v>
      </c>
      <c r="Q69" s="150">
        <v>20000</v>
      </c>
      <c r="R69" s="150">
        <v>2041</v>
      </c>
      <c r="S69" s="150">
        <v>9854</v>
      </c>
      <c r="T69" s="150">
        <v>473268</v>
      </c>
      <c r="U69" s="149">
        <v>482742</v>
      </c>
      <c r="V69" s="151">
        <v>-9474</v>
      </c>
      <c r="W69" s="147">
        <v>-1.9625389959854331E-2</v>
      </c>
      <c r="X69" s="130"/>
    </row>
    <row r="70" spans="1:24" ht="12" customHeight="1" x14ac:dyDescent="0.2">
      <c r="A70" s="142">
        <v>531105</v>
      </c>
      <c r="B70" s="163" t="s">
        <v>30</v>
      </c>
      <c r="C70" s="150">
        <v>420</v>
      </c>
      <c r="D70" s="150">
        <v>60</v>
      </c>
      <c r="E70" s="150">
        <v>1257</v>
      </c>
      <c r="F70" s="150">
        <v>483</v>
      </c>
      <c r="G70" s="150" t="s">
        <v>81</v>
      </c>
      <c r="H70" s="150">
        <v>472</v>
      </c>
      <c r="I70" s="150" t="s">
        <v>81</v>
      </c>
      <c r="J70" s="150" t="s">
        <v>81</v>
      </c>
      <c r="K70" s="150">
        <v>250</v>
      </c>
      <c r="L70" s="150" t="s">
        <v>81</v>
      </c>
      <c r="M70" s="150">
        <v>200</v>
      </c>
      <c r="N70" s="150">
        <v>375</v>
      </c>
      <c r="O70" s="150">
        <v>2000</v>
      </c>
      <c r="P70" s="150">
        <v>400</v>
      </c>
      <c r="Q70" s="150">
        <v>215</v>
      </c>
      <c r="R70" s="150">
        <v>407</v>
      </c>
      <c r="S70" s="150">
        <v>106</v>
      </c>
      <c r="T70" s="150">
        <v>6645</v>
      </c>
      <c r="U70" s="149">
        <v>6735</v>
      </c>
      <c r="V70" s="151">
        <v>-90</v>
      </c>
      <c r="W70" s="147">
        <v>-1.3363028953229399E-2</v>
      </c>
      <c r="X70" s="130"/>
    </row>
    <row r="71" spans="1:24" ht="12" customHeight="1" x14ac:dyDescent="0.2">
      <c r="A71" s="142">
        <v>531401</v>
      </c>
      <c r="B71" s="163" t="s">
        <v>31</v>
      </c>
      <c r="C71" s="150" t="s">
        <v>81</v>
      </c>
      <c r="D71" s="150" t="s">
        <v>81</v>
      </c>
      <c r="E71" s="150" t="s">
        <v>81</v>
      </c>
      <c r="F71" s="150" t="s">
        <v>81</v>
      </c>
      <c r="G71" s="150">
        <v>250</v>
      </c>
      <c r="H71" s="150" t="s">
        <v>81</v>
      </c>
      <c r="I71" s="150" t="s">
        <v>81</v>
      </c>
      <c r="J71" s="150" t="s">
        <v>81</v>
      </c>
      <c r="K71" s="150" t="s">
        <v>81</v>
      </c>
      <c r="L71" s="150" t="s">
        <v>81</v>
      </c>
      <c r="M71" s="150" t="s">
        <v>81</v>
      </c>
      <c r="N71" s="150" t="s">
        <v>81</v>
      </c>
      <c r="O71" s="150" t="s">
        <v>81</v>
      </c>
      <c r="P71" s="150" t="s">
        <v>81</v>
      </c>
      <c r="Q71" s="150" t="s">
        <v>81</v>
      </c>
      <c r="R71" s="150" t="s">
        <v>81</v>
      </c>
      <c r="S71" s="150" t="s">
        <v>81</v>
      </c>
      <c r="T71" s="150">
        <v>250</v>
      </c>
      <c r="U71" s="149">
        <v>250</v>
      </c>
      <c r="V71" s="149">
        <v>0</v>
      </c>
      <c r="W71" s="153">
        <v>0</v>
      </c>
      <c r="X71" s="130"/>
    </row>
    <row r="72" spans="1:24" ht="12" customHeight="1" x14ac:dyDescent="0.2">
      <c r="A72" s="142">
        <v>573001</v>
      </c>
      <c r="B72" s="163" t="s">
        <v>32</v>
      </c>
      <c r="C72" s="150" t="s">
        <v>81</v>
      </c>
      <c r="D72" s="150" t="s">
        <v>81</v>
      </c>
      <c r="E72" s="150" t="s">
        <v>81</v>
      </c>
      <c r="F72" s="150" t="s">
        <v>81</v>
      </c>
      <c r="G72" s="150" t="s">
        <v>81</v>
      </c>
      <c r="H72" s="150" t="s">
        <v>81</v>
      </c>
      <c r="I72" s="150" t="s">
        <v>81</v>
      </c>
      <c r="J72" s="150" t="s">
        <v>81</v>
      </c>
      <c r="K72" s="150" t="s">
        <v>81</v>
      </c>
      <c r="L72" s="150" t="s">
        <v>81</v>
      </c>
      <c r="M72" s="150">
        <v>25000</v>
      </c>
      <c r="N72" s="150">
        <v>330934</v>
      </c>
      <c r="O72" s="150" t="s">
        <v>81</v>
      </c>
      <c r="P72" s="150" t="s">
        <v>81</v>
      </c>
      <c r="Q72" s="150" t="s">
        <v>81</v>
      </c>
      <c r="R72" s="150" t="s">
        <v>81</v>
      </c>
      <c r="S72" s="150" t="s">
        <v>81</v>
      </c>
      <c r="T72" s="150">
        <v>355934</v>
      </c>
      <c r="U72" s="149">
        <v>417000</v>
      </c>
      <c r="V72" s="181">
        <v>-61066</v>
      </c>
      <c r="W72" s="147">
        <v>-0.14644124700239808</v>
      </c>
      <c r="X72" s="130"/>
    </row>
    <row r="73" spans="1:24" s="162" customFormat="1" ht="12" customHeight="1" x14ac:dyDescent="0.2">
      <c r="B73" s="155" t="s">
        <v>19</v>
      </c>
      <c r="C73" s="156">
        <v>26020</v>
      </c>
      <c r="D73" s="156">
        <v>108460</v>
      </c>
      <c r="E73" s="156">
        <v>105621</v>
      </c>
      <c r="F73" s="156">
        <v>42683</v>
      </c>
      <c r="G73" s="156">
        <v>15000</v>
      </c>
      <c r="H73" s="156">
        <v>74510</v>
      </c>
      <c r="I73" s="156">
        <v>34500</v>
      </c>
      <c r="J73" s="156">
        <v>76388</v>
      </c>
      <c r="K73" s="156">
        <v>117561</v>
      </c>
      <c r="L73" s="156">
        <v>231500</v>
      </c>
      <c r="M73" s="156">
        <v>33305</v>
      </c>
      <c r="N73" s="156">
        <v>581884</v>
      </c>
      <c r="O73" s="156">
        <v>106350</v>
      </c>
      <c r="P73" s="156">
        <v>243161</v>
      </c>
      <c r="Q73" s="156">
        <v>94215</v>
      </c>
      <c r="R73" s="156">
        <v>14105</v>
      </c>
      <c r="S73" s="156">
        <v>6532490</v>
      </c>
      <c r="T73" s="156">
        <v>8437753</v>
      </c>
      <c r="U73" s="156">
        <v>8533352.25</v>
      </c>
      <c r="V73" s="165">
        <v>-95599.25</v>
      </c>
      <c r="W73" s="158">
        <v>-1.12030122745724E-2</v>
      </c>
      <c r="X73" s="130"/>
    </row>
    <row r="74" spans="1:24" ht="4.1500000000000004" customHeight="1" x14ac:dyDescent="0.2">
      <c r="B74" s="166"/>
      <c r="C74" s="167"/>
      <c r="D74" s="167"/>
      <c r="E74" s="167"/>
      <c r="F74" s="167"/>
      <c r="G74" s="167"/>
      <c r="H74" s="167"/>
      <c r="I74" s="167"/>
      <c r="J74" s="167"/>
      <c r="K74" s="167"/>
      <c r="L74" s="168"/>
      <c r="M74" s="168"/>
      <c r="N74" s="167"/>
      <c r="O74" s="167"/>
      <c r="P74" s="167"/>
      <c r="Q74" s="167"/>
      <c r="R74" s="167"/>
      <c r="S74" s="168"/>
      <c r="T74" s="168"/>
      <c r="U74" s="168"/>
      <c r="V74" s="169"/>
      <c r="W74" s="170"/>
      <c r="X74" s="130"/>
    </row>
    <row r="75" spans="1:24" s="162" customFormat="1" ht="12" customHeight="1" thickBot="1" x14ac:dyDescent="0.25">
      <c r="A75" s="162" t="s">
        <v>76</v>
      </c>
      <c r="B75" s="155" t="s">
        <v>78</v>
      </c>
      <c r="C75" s="171"/>
      <c r="D75" s="171"/>
      <c r="E75" s="171"/>
      <c r="F75" s="171"/>
      <c r="G75" s="171"/>
      <c r="H75" s="171"/>
      <c r="I75" s="171"/>
      <c r="J75" s="171"/>
      <c r="K75" s="171"/>
      <c r="L75" s="172">
        <v>-37020700</v>
      </c>
      <c r="M75" s="171"/>
      <c r="N75" s="171"/>
      <c r="O75" s="171"/>
      <c r="P75" s="171"/>
      <c r="Q75" s="171"/>
      <c r="R75" s="171"/>
      <c r="S75" s="171"/>
      <c r="T75" s="172">
        <v>-37020700</v>
      </c>
      <c r="U75" s="171">
        <v>-32829551</v>
      </c>
      <c r="V75" s="171">
        <v>-4191149</v>
      </c>
      <c r="W75" s="158">
        <v>0.12766391474559002</v>
      </c>
      <c r="X75" s="130"/>
    </row>
    <row r="76" spans="1:24" ht="15" customHeight="1" thickBot="1" x14ac:dyDescent="0.25">
      <c r="B76" s="182" t="s">
        <v>13</v>
      </c>
      <c r="C76" s="173">
        <v>2264017.3878959999</v>
      </c>
      <c r="D76" s="173">
        <v>834625.17572299996</v>
      </c>
      <c r="E76" s="173">
        <v>105621</v>
      </c>
      <c r="F76" s="173">
        <v>3142328.529232</v>
      </c>
      <c r="G76" s="173">
        <v>1403645.4394129999</v>
      </c>
      <c r="H76" s="173">
        <v>6326736.7844479997</v>
      </c>
      <c r="I76" s="173">
        <v>1370393.386525</v>
      </c>
      <c r="J76" s="173">
        <v>902064.84445800004</v>
      </c>
      <c r="K76" s="173">
        <v>9593401.8398230001</v>
      </c>
      <c r="L76" s="213">
        <v>-29311637.940000001</v>
      </c>
      <c r="M76" s="173">
        <v>2714133.52</v>
      </c>
      <c r="N76" s="173">
        <v>120138470.281481</v>
      </c>
      <c r="O76" s="173">
        <v>39729619.477688998</v>
      </c>
      <c r="P76" s="173">
        <v>70588742.408920005</v>
      </c>
      <c r="Q76" s="173">
        <v>2295611.3523519998</v>
      </c>
      <c r="R76" s="173">
        <v>3984878.0629160004</v>
      </c>
      <c r="S76" s="173">
        <v>37003163.048851997</v>
      </c>
      <c r="T76" s="173">
        <v>273085813.59972799</v>
      </c>
      <c r="U76" s="173">
        <v>253614490.69438702</v>
      </c>
      <c r="V76" s="173">
        <v>19471322.90534097</v>
      </c>
      <c r="W76" s="183">
        <v>7.6775277516790197E-2</v>
      </c>
      <c r="X76" s="130"/>
    </row>
    <row r="77" spans="1:24" s="129" customFormat="1" ht="3" customHeight="1" thickTop="1" x14ac:dyDescent="0.2">
      <c r="B77" s="2"/>
      <c r="C77" s="134"/>
      <c r="D77" s="134"/>
      <c r="E77" s="134"/>
      <c r="F77" s="134"/>
      <c r="G77" s="134"/>
      <c r="H77" s="134"/>
      <c r="I77" s="134"/>
      <c r="J77" s="134"/>
      <c r="K77" s="134"/>
      <c r="N77" s="134"/>
      <c r="O77" s="134"/>
      <c r="P77" s="134"/>
      <c r="Q77" s="134"/>
      <c r="R77" s="134"/>
      <c r="X77" s="130"/>
    </row>
    <row r="78" spans="1:24" s="129" customFormat="1" x14ac:dyDescent="0.2">
      <c r="B78" s="174"/>
      <c r="C78" s="174"/>
      <c r="D78" s="174"/>
      <c r="E78" s="174"/>
      <c r="F78" s="174"/>
      <c r="G78" s="174"/>
      <c r="H78" s="174"/>
      <c r="I78" s="174"/>
      <c r="J78" s="174"/>
      <c r="K78" s="174"/>
      <c r="L78" s="174"/>
      <c r="M78" s="174"/>
      <c r="N78" s="174"/>
      <c r="O78" s="174"/>
      <c r="P78" s="174"/>
      <c r="Q78" s="174"/>
      <c r="R78" s="174"/>
      <c r="S78" s="174"/>
      <c r="T78" s="175"/>
    </row>
    <row r="79" spans="1:24" x14ac:dyDescent="0.2">
      <c r="B79" s="131"/>
      <c r="C79" s="131"/>
      <c r="D79" s="131"/>
      <c r="E79" s="131"/>
      <c r="F79" s="131"/>
      <c r="G79" s="131"/>
      <c r="H79" s="131"/>
      <c r="I79" s="131"/>
      <c r="J79" s="131"/>
      <c r="K79" s="176"/>
      <c r="L79" s="211"/>
      <c r="M79" s="131"/>
      <c r="N79" s="131"/>
      <c r="O79" s="131"/>
      <c r="P79" s="131"/>
      <c r="Q79" s="131"/>
      <c r="R79" s="131"/>
      <c r="S79" s="131"/>
      <c r="T79" s="176"/>
      <c r="U79" s="177"/>
      <c r="V79" s="129"/>
    </row>
    <row r="81" spans="7:22" x14ac:dyDescent="0.2">
      <c r="V81" s="178"/>
    </row>
    <row r="82" spans="7:22" x14ac:dyDescent="0.2">
      <c r="V82" s="179"/>
    </row>
    <row r="83" spans="7:22" x14ac:dyDescent="0.2">
      <c r="J83" s="180"/>
    </row>
    <row r="84" spans="7:22" x14ac:dyDescent="0.2">
      <c r="G84" s="180"/>
      <c r="H84" s="180"/>
      <c r="I84" s="180"/>
      <c r="J84" s="180"/>
      <c r="U84" s="180"/>
    </row>
    <row r="85" spans="7:22" x14ac:dyDescent="0.2">
      <c r="L85" s="180"/>
      <c r="U85" s="180"/>
    </row>
    <row r="86" spans="7:22" x14ac:dyDescent="0.2">
      <c r="H86" s="180"/>
    </row>
  </sheetData>
  <pageMargins left="0.7" right="0.7" top="0.75" bottom="0.75" header="0.3" footer="0.3"/>
  <pageSetup orientation="portrait" horizontalDpi="4294967293" verticalDpi="4294967293" r:id="rId1"/>
  <ignoredErrors>
    <ignoredError sqref="C77:E78 T77:U77 N77:N78 W77 V77:V78 P77:S78" formula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22447B-6969-4F60-8E18-176ADD8E59D0}">
  <sheetPr codeName="Sheet7">
    <tabColor rgb="FFFFC000"/>
  </sheetPr>
  <dimension ref="A2:G30"/>
  <sheetViews>
    <sheetView showGridLines="0" zoomScaleNormal="10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5" style="49" customWidth="1"/>
    <col min="3" max="3" width="12.28515625" style="49" bestFit="1" customWidth="1"/>
    <col min="4" max="5" width="9" style="49" customWidth="1"/>
    <col min="6" max="6" width="12.28515625" style="49" bestFit="1" customWidth="1"/>
    <col min="7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ht="15" thickBot="1" x14ac:dyDescent="0.25">
      <c r="B7" s="220"/>
      <c r="C7" s="220"/>
      <c r="D7" s="220"/>
      <c r="E7" s="220"/>
      <c r="F7" s="220"/>
    </row>
    <row r="8" spans="1:6" ht="24.75" thickBot="1" x14ac:dyDescent="0.25">
      <c r="A8" s="50"/>
      <c r="B8" s="92" t="s">
        <v>12</v>
      </c>
      <c r="C8" s="66" t="s">
        <v>169</v>
      </c>
      <c r="D8" s="66" t="s">
        <v>170</v>
      </c>
      <c r="E8" s="66" t="s">
        <v>171</v>
      </c>
      <c r="F8" s="93" t="s">
        <v>172</v>
      </c>
    </row>
    <row r="9" spans="1:6" x14ac:dyDescent="0.2">
      <c r="A9" s="50">
        <v>511101</v>
      </c>
      <c r="B9" s="94" t="s">
        <v>114</v>
      </c>
      <c r="C9" s="88">
        <v>-2343320</v>
      </c>
      <c r="D9" s="88">
        <v>0</v>
      </c>
      <c r="E9" s="88">
        <v>0</v>
      </c>
      <c r="F9" s="90">
        <f t="shared" ref="F9:F16" si="0">SUM(C9:E9)</f>
        <v>-2343320</v>
      </c>
    </row>
    <row r="10" spans="1:6" x14ac:dyDescent="0.2">
      <c r="A10" s="50">
        <v>512101</v>
      </c>
      <c r="B10" s="95" t="s">
        <v>132</v>
      </c>
      <c r="C10" s="96">
        <v>7677326</v>
      </c>
      <c r="D10" s="96">
        <v>0</v>
      </c>
      <c r="E10" s="96">
        <v>0</v>
      </c>
      <c r="F10" s="97">
        <f t="shared" si="0"/>
        <v>7677326</v>
      </c>
    </row>
    <row r="11" spans="1:6" x14ac:dyDescent="0.2">
      <c r="A11" s="50">
        <v>512601</v>
      </c>
      <c r="B11" s="95" t="s">
        <v>133</v>
      </c>
      <c r="C11" s="96">
        <v>123661</v>
      </c>
      <c r="D11" s="96">
        <v>0</v>
      </c>
      <c r="E11" s="96">
        <v>0</v>
      </c>
      <c r="F11" s="97">
        <f t="shared" si="0"/>
        <v>123661</v>
      </c>
    </row>
    <row r="12" spans="1:6" x14ac:dyDescent="0.2">
      <c r="A12" s="50">
        <v>512701</v>
      </c>
      <c r="B12" s="58" t="s">
        <v>134</v>
      </c>
      <c r="C12" s="96">
        <v>251522</v>
      </c>
      <c r="D12" s="96">
        <v>0</v>
      </c>
      <c r="E12" s="96">
        <v>0</v>
      </c>
      <c r="F12" s="102">
        <f t="shared" si="0"/>
        <v>251522</v>
      </c>
    </row>
    <row r="13" spans="1:6" x14ac:dyDescent="0.2">
      <c r="A13" s="50">
        <v>521201</v>
      </c>
      <c r="B13" s="95" t="s">
        <v>117</v>
      </c>
      <c r="C13" s="96">
        <v>42000</v>
      </c>
      <c r="D13" s="96">
        <v>0</v>
      </c>
      <c r="E13" s="96">
        <v>0</v>
      </c>
      <c r="F13" s="97">
        <f t="shared" si="0"/>
        <v>42000</v>
      </c>
    </row>
    <row r="14" spans="1:6" x14ac:dyDescent="0.2">
      <c r="A14" s="50">
        <v>523601</v>
      </c>
      <c r="B14" s="95" t="s">
        <v>120</v>
      </c>
      <c r="C14" s="96">
        <v>1562</v>
      </c>
      <c r="D14" s="96">
        <v>0</v>
      </c>
      <c r="E14" s="96">
        <v>0</v>
      </c>
      <c r="F14" s="97">
        <f t="shared" si="0"/>
        <v>1562</v>
      </c>
    </row>
    <row r="15" spans="1:6" x14ac:dyDescent="0.2">
      <c r="A15" s="50">
        <v>531101</v>
      </c>
      <c r="B15" s="68" t="s">
        <v>122</v>
      </c>
      <c r="C15" s="96">
        <v>246076</v>
      </c>
      <c r="D15" s="96">
        <v>0</v>
      </c>
      <c r="E15" s="96">
        <v>0</v>
      </c>
      <c r="F15" s="72">
        <f t="shared" si="0"/>
        <v>246076</v>
      </c>
    </row>
    <row r="16" spans="1:6" ht="15" thickBot="1" x14ac:dyDescent="0.25">
      <c r="A16" s="50" t="s">
        <v>195</v>
      </c>
      <c r="B16" s="68" t="s">
        <v>78</v>
      </c>
      <c r="C16" s="103">
        <v>-31225187</v>
      </c>
      <c r="D16" s="103">
        <v>0</v>
      </c>
      <c r="E16" s="103">
        <v>0</v>
      </c>
      <c r="F16" s="104">
        <f t="shared" si="0"/>
        <v>-31225187</v>
      </c>
    </row>
    <row r="17" spans="1:7" ht="15" thickBot="1" x14ac:dyDescent="0.25">
      <c r="A17" s="50"/>
      <c r="B17" s="76" t="s">
        <v>173</v>
      </c>
      <c r="C17" s="77">
        <f>SUM(C9:C16)</f>
        <v>-25226360</v>
      </c>
      <c r="D17" s="77">
        <f t="shared" ref="D17:E17" si="1">SUM(D9:D16)</f>
        <v>0</v>
      </c>
      <c r="E17" s="77">
        <f t="shared" si="1"/>
        <v>0</v>
      </c>
      <c r="F17" s="105">
        <f>SUM(F9:F16)</f>
        <v>-25226360</v>
      </c>
    </row>
    <row r="18" spans="1:7" ht="15" thickBot="1" x14ac:dyDescent="0.25">
      <c r="A18" s="50"/>
      <c r="B18" s="91" t="s">
        <v>174</v>
      </c>
      <c r="C18" s="106">
        <v>-27904208.9979003</v>
      </c>
      <c r="D18" s="80">
        <v>0</v>
      </c>
      <c r="E18" s="80">
        <v>0</v>
      </c>
      <c r="F18" s="107">
        <f>SUM(C18:E18)</f>
        <v>-27904208.9979003</v>
      </c>
    </row>
    <row r="19" spans="1:7" ht="15.75" thickTop="1" thickBot="1" x14ac:dyDescent="0.25">
      <c r="A19" s="50"/>
      <c r="B19" s="82" t="s">
        <v>175</v>
      </c>
      <c r="C19" s="83">
        <f>C17-C18</f>
        <v>2677848.9979002997</v>
      </c>
      <c r="D19" s="83">
        <f t="shared" ref="D19:E19" si="2">D17-D18</f>
        <v>0</v>
      </c>
      <c r="E19" s="83">
        <f t="shared" si="2"/>
        <v>0</v>
      </c>
      <c r="F19" s="84">
        <f>F17-F18</f>
        <v>2677848.9979002997</v>
      </c>
    </row>
    <row r="20" spans="1:7" x14ac:dyDescent="0.2">
      <c r="D20" s="49" t="s">
        <v>177</v>
      </c>
    </row>
    <row r="24" spans="1:7" x14ac:dyDescent="0.2">
      <c r="G24" s="108"/>
    </row>
    <row r="30" spans="1:7" x14ac:dyDescent="0.2">
      <c r="C30" s="61"/>
    </row>
  </sheetData>
  <mergeCells count="4">
    <mergeCell ref="B2:F4"/>
    <mergeCell ref="B5:F5"/>
    <mergeCell ref="B6:F6"/>
    <mergeCell ref="B7:F7"/>
  </mergeCells>
  <conditionalFormatting sqref="C17">
    <cfRule type="cellIs" dxfId="19" priority="3" operator="lessThan">
      <formula>0</formula>
    </cfRule>
  </conditionalFormatting>
  <conditionalFormatting sqref="C9:E9">
    <cfRule type="cellIs" dxfId="18" priority="1" operator="lessThan">
      <formula>0</formula>
    </cfRule>
  </conditionalFormatting>
  <conditionalFormatting sqref="C19:F19">
    <cfRule type="cellIs" dxfId="17" priority="4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4579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2171700</xdr:colOff>
                <xdr:row>1</xdr:row>
                <xdr:rowOff>47625</xdr:rowOff>
              </to>
            </anchor>
          </controlPr>
        </control>
      </mc:Choice>
      <mc:Fallback>
        <control shapeId="24579" r:id="rId4" name="Control 3"/>
      </mc:Fallback>
    </mc:AlternateContent>
    <mc:AlternateContent xmlns:mc="http://schemas.openxmlformats.org/markup-compatibility/2006">
      <mc:Choice Requires="x14">
        <control shapeId="24578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1543050</xdr:colOff>
                <xdr:row>1</xdr:row>
                <xdr:rowOff>47625</xdr:rowOff>
              </to>
            </anchor>
          </controlPr>
        </control>
      </mc:Choice>
      <mc:Fallback>
        <control shapeId="24578" r:id="rId6" name="Control 2"/>
      </mc:Fallback>
    </mc:AlternateContent>
    <mc:AlternateContent xmlns:mc="http://schemas.openxmlformats.org/markup-compatibility/2006">
      <mc:Choice Requires="x14">
        <control shapeId="24577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923925</xdr:colOff>
                <xdr:row>1</xdr:row>
                <xdr:rowOff>47625</xdr:rowOff>
              </to>
            </anchor>
          </controlPr>
        </control>
      </mc:Choice>
      <mc:Fallback>
        <control shapeId="24577" r:id="rId8" name="Control 1"/>
      </mc:Fallback>
    </mc:AlternateContent>
  </control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DFE75B-393C-42D1-8766-69A156ACFA07}">
  <sheetPr codeName="Sheet4">
    <tabColor rgb="FFFFC000"/>
  </sheetPr>
  <dimension ref="A2:I28"/>
  <sheetViews>
    <sheetView showGridLines="0" topLeftCell="A4" zoomScale="110" zoomScaleNormal="110" workbookViewId="0">
      <selection activeCell="I18" sqref="I18"/>
    </sheetView>
  </sheetViews>
  <sheetFormatPr defaultColWidth="9.140625" defaultRowHeight="14.25" x14ac:dyDescent="0.2"/>
  <cols>
    <col min="1" max="1" width="9.7109375" style="49" customWidth="1"/>
    <col min="2" max="2" width="34.140625" style="49" customWidth="1"/>
    <col min="3" max="3" width="11.140625" style="49" bestFit="1" customWidth="1"/>
    <col min="4" max="4" width="8.85546875" style="49" customWidth="1"/>
    <col min="5" max="5" width="9.5703125" style="49" customWidth="1"/>
    <col min="6" max="6" width="11.140625" style="49" bestFit="1" customWidth="1"/>
    <col min="7" max="8" width="9.140625" style="49"/>
    <col min="9" max="9" width="11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x14ac:dyDescent="0.2">
      <c r="B7" s="220"/>
      <c r="C7" s="220"/>
      <c r="D7" s="220"/>
      <c r="E7" s="220"/>
      <c r="F7" s="220"/>
    </row>
    <row r="8" spans="1:6" ht="15" thickBot="1" x14ac:dyDescent="0.25">
      <c r="B8" s="220"/>
      <c r="C8" s="220"/>
      <c r="D8" s="220"/>
      <c r="E8" s="220"/>
      <c r="F8" s="220"/>
    </row>
    <row r="9" spans="1:6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6" x14ac:dyDescent="0.2">
      <c r="A10" s="50">
        <v>511101</v>
      </c>
      <c r="B10" s="94" t="s">
        <v>114</v>
      </c>
      <c r="C10" s="88">
        <v>1503590.26</v>
      </c>
      <c r="D10" s="88">
        <v>0</v>
      </c>
      <c r="E10" s="88">
        <v>0</v>
      </c>
      <c r="F10" s="90">
        <f t="shared" ref="F10:F25" si="0">SUM(C10:E10)</f>
        <v>1503590.26</v>
      </c>
    </row>
    <row r="11" spans="1:6" x14ac:dyDescent="0.2">
      <c r="A11" s="50">
        <v>511202</v>
      </c>
      <c r="B11" s="95" t="s">
        <v>135</v>
      </c>
      <c r="C11" s="96">
        <v>69264</v>
      </c>
      <c r="D11" s="96">
        <v>0</v>
      </c>
      <c r="E11" s="96">
        <v>0</v>
      </c>
      <c r="F11" s="97">
        <f t="shared" si="0"/>
        <v>69264</v>
      </c>
    </row>
    <row r="12" spans="1:6" x14ac:dyDescent="0.2">
      <c r="A12" s="50">
        <v>511301</v>
      </c>
      <c r="B12" s="95" t="s">
        <v>136</v>
      </c>
      <c r="C12" s="96">
        <v>2000</v>
      </c>
      <c r="D12" s="96">
        <v>0</v>
      </c>
      <c r="E12" s="96">
        <v>0</v>
      </c>
      <c r="F12" s="97">
        <f t="shared" si="0"/>
        <v>2000</v>
      </c>
    </row>
    <row r="13" spans="1:6" x14ac:dyDescent="0.2">
      <c r="A13" s="50">
        <v>512401</v>
      </c>
      <c r="B13" s="95" t="s">
        <v>115</v>
      </c>
      <c r="C13" s="96">
        <v>196088.47</v>
      </c>
      <c r="D13" s="96">
        <v>0</v>
      </c>
      <c r="E13" s="96">
        <v>0</v>
      </c>
      <c r="F13" s="97">
        <f t="shared" si="0"/>
        <v>196088.47</v>
      </c>
    </row>
    <row r="14" spans="1:6" x14ac:dyDescent="0.2">
      <c r="A14" s="50">
        <v>512402</v>
      </c>
      <c r="B14" s="95" t="s">
        <v>137</v>
      </c>
      <c r="C14" s="96">
        <v>10782.67</v>
      </c>
      <c r="D14" s="96">
        <v>0</v>
      </c>
      <c r="E14" s="96">
        <v>0</v>
      </c>
      <c r="F14" s="97">
        <f t="shared" si="0"/>
        <v>10782.67</v>
      </c>
    </row>
    <row r="15" spans="1:6" x14ac:dyDescent="0.2">
      <c r="A15" s="50">
        <v>512501</v>
      </c>
      <c r="B15" s="95" t="s">
        <v>138</v>
      </c>
      <c r="C15" s="96">
        <v>33100</v>
      </c>
      <c r="D15" s="96">
        <v>0</v>
      </c>
      <c r="E15" s="96">
        <v>0</v>
      </c>
      <c r="F15" s="97">
        <f t="shared" si="0"/>
        <v>33100</v>
      </c>
    </row>
    <row r="16" spans="1:6" x14ac:dyDescent="0.2">
      <c r="A16" s="50">
        <v>521101</v>
      </c>
      <c r="B16" s="95" t="s">
        <v>116</v>
      </c>
      <c r="C16" s="96">
        <v>15700</v>
      </c>
      <c r="D16" s="96">
        <v>0</v>
      </c>
      <c r="E16" s="96">
        <v>0</v>
      </c>
      <c r="F16" s="97">
        <f t="shared" si="0"/>
        <v>15700</v>
      </c>
    </row>
    <row r="17" spans="1:9" x14ac:dyDescent="0.2">
      <c r="A17" s="50">
        <v>521201</v>
      </c>
      <c r="B17" s="95" t="s">
        <v>117</v>
      </c>
      <c r="C17" s="96">
        <v>154000</v>
      </c>
      <c r="D17" s="96">
        <v>0</v>
      </c>
      <c r="E17" s="96">
        <v>0</v>
      </c>
      <c r="F17" s="97">
        <f t="shared" si="0"/>
        <v>154000</v>
      </c>
    </row>
    <row r="18" spans="1:9" x14ac:dyDescent="0.2">
      <c r="A18" s="50">
        <v>523301</v>
      </c>
      <c r="B18" s="95" t="s">
        <v>139</v>
      </c>
      <c r="C18" s="96">
        <v>233500</v>
      </c>
      <c r="D18" s="96">
        <v>0</v>
      </c>
      <c r="E18" s="96">
        <v>0</v>
      </c>
      <c r="F18" s="97">
        <f t="shared" si="0"/>
        <v>233500</v>
      </c>
    </row>
    <row r="19" spans="1:9" x14ac:dyDescent="0.2">
      <c r="A19" s="50">
        <v>523304</v>
      </c>
      <c r="B19" s="95" t="s">
        <v>118</v>
      </c>
      <c r="C19" s="96">
        <v>19000</v>
      </c>
      <c r="D19" s="96">
        <v>0</v>
      </c>
      <c r="E19" s="96">
        <v>0</v>
      </c>
      <c r="F19" s="97">
        <f t="shared" si="0"/>
        <v>19000</v>
      </c>
    </row>
    <row r="20" spans="1:9" x14ac:dyDescent="0.2">
      <c r="A20" s="50">
        <v>523501</v>
      </c>
      <c r="B20" s="58" t="s">
        <v>119</v>
      </c>
      <c r="C20" s="96">
        <v>6500</v>
      </c>
      <c r="D20" s="96">
        <v>0</v>
      </c>
      <c r="E20" s="96">
        <v>0</v>
      </c>
      <c r="F20" s="97">
        <f t="shared" si="0"/>
        <v>6500</v>
      </c>
    </row>
    <row r="21" spans="1:9" x14ac:dyDescent="0.2">
      <c r="A21" s="50">
        <v>523601</v>
      </c>
      <c r="B21" s="95" t="s">
        <v>120</v>
      </c>
      <c r="C21" s="96">
        <v>6000</v>
      </c>
      <c r="D21" s="96">
        <v>0</v>
      </c>
      <c r="E21" s="96">
        <v>0</v>
      </c>
      <c r="F21" s="97">
        <f t="shared" si="0"/>
        <v>6000</v>
      </c>
    </row>
    <row r="22" spans="1:9" x14ac:dyDescent="0.2">
      <c r="A22" s="50">
        <v>523701</v>
      </c>
      <c r="B22" s="95" t="s">
        <v>121</v>
      </c>
      <c r="C22" s="96">
        <v>68500</v>
      </c>
      <c r="D22" s="96">
        <v>0</v>
      </c>
      <c r="E22" s="96">
        <v>0</v>
      </c>
      <c r="F22" s="97">
        <f t="shared" si="0"/>
        <v>68500</v>
      </c>
    </row>
    <row r="23" spans="1:9" x14ac:dyDescent="0.2">
      <c r="A23" s="50">
        <v>523851</v>
      </c>
      <c r="B23" s="95" t="s">
        <v>140</v>
      </c>
      <c r="C23" s="96">
        <v>50000</v>
      </c>
      <c r="D23" s="96">
        <v>0</v>
      </c>
      <c r="E23" s="96">
        <v>0</v>
      </c>
      <c r="F23" s="97">
        <f t="shared" si="0"/>
        <v>50000</v>
      </c>
    </row>
    <row r="24" spans="1:9" x14ac:dyDescent="0.2">
      <c r="A24" s="50">
        <v>531101</v>
      </c>
      <c r="B24" s="95" t="s">
        <v>122</v>
      </c>
      <c r="C24" s="96">
        <v>5000</v>
      </c>
      <c r="D24" s="96">
        <v>0</v>
      </c>
      <c r="E24" s="96">
        <v>0</v>
      </c>
      <c r="F24" s="97">
        <f t="shared" si="0"/>
        <v>5000</v>
      </c>
    </row>
    <row r="25" spans="1:9" ht="15" thickBot="1" x14ac:dyDescent="0.25">
      <c r="A25" s="50">
        <v>531105</v>
      </c>
      <c r="B25" s="68" t="s">
        <v>123</v>
      </c>
      <c r="C25" s="96">
        <v>483</v>
      </c>
      <c r="D25" s="96">
        <v>0</v>
      </c>
      <c r="E25" s="96">
        <v>0</v>
      </c>
      <c r="F25" s="72">
        <f t="shared" si="0"/>
        <v>483</v>
      </c>
    </row>
    <row r="26" spans="1:9" ht="15" thickBot="1" x14ac:dyDescent="0.25">
      <c r="A26" s="50"/>
      <c r="B26" s="76" t="s">
        <v>173</v>
      </c>
      <c r="C26" s="77">
        <f>SUM(C10:C25)</f>
        <v>2373508.4</v>
      </c>
      <c r="D26" s="77">
        <f>SUM(D10:D25)</f>
        <v>0</v>
      </c>
      <c r="E26" s="77">
        <f>SUM(E10:E25)</f>
        <v>0</v>
      </c>
      <c r="F26" s="78">
        <f>SUM(F10:F25)</f>
        <v>2373508.4</v>
      </c>
      <c r="I26" s="62"/>
    </row>
    <row r="27" spans="1:9" ht="15" thickBot="1" x14ac:dyDescent="0.25">
      <c r="A27" s="50"/>
      <c r="B27" s="91" t="s">
        <v>174</v>
      </c>
      <c r="C27" s="80">
        <v>1891949.1841980002</v>
      </c>
      <c r="D27" s="80">
        <v>0</v>
      </c>
      <c r="E27" s="80">
        <v>0</v>
      </c>
      <c r="F27" s="81">
        <f>SUM(C27:E27)</f>
        <v>1891949.1841980002</v>
      </c>
    </row>
    <row r="28" spans="1:9" ht="15.75" thickTop="1" thickBot="1" x14ac:dyDescent="0.25">
      <c r="A28" s="50"/>
      <c r="B28" s="82" t="s">
        <v>175</v>
      </c>
      <c r="C28" s="83">
        <f>C26-C27</f>
        <v>481559.21580199967</v>
      </c>
      <c r="D28" s="83">
        <f t="shared" ref="D28:F28" si="1">D26-D27</f>
        <v>0</v>
      </c>
      <c r="E28" s="83">
        <f t="shared" si="1"/>
        <v>0</v>
      </c>
      <c r="F28" s="84">
        <f t="shared" si="1"/>
        <v>481559.21580199967</v>
      </c>
    </row>
  </sheetData>
  <mergeCells count="4">
    <mergeCell ref="B2:F4"/>
    <mergeCell ref="B5:F5"/>
    <mergeCell ref="B6:F6"/>
    <mergeCell ref="B7:F8"/>
  </mergeCells>
  <conditionalFormatting sqref="C26:C27">
    <cfRule type="cellIs" dxfId="16" priority="2" operator="lessThan">
      <formula>0</formula>
    </cfRule>
  </conditionalFormatting>
  <conditionalFormatting sqref="C10:E10">
    <cfRule type="cellIs" dxfId="15" priority="1" operator="lessThan">
      <formula>0</formula>
    </cfRule>
  </conditionalFormatting>
  <conditionalFormatting sqref="C28:F28">
    <cfRule type="cellIs" dxfId="14" priority="3" operator="lessThan">
      <formula>0</formula>
    </cfRule>
  </conditionalFormatting>
  <pageMargins left="0.75" right="0.75" top="1" bottom="1" header="0.5" footer="0.5"/>
  <pageSetup scale="96" orientation="portrait" r:id="rId1"/>
  <drawing r:id="rId2"/>
  <legacyDrawing r:id="rId3"/>
  <controls>
    <mc:AlternateContent xmlns:mc="http://schemas.openxmlformats.org/markup-compatibility/2006">
      <mc:Choice Requires="x14">
        <control shapeId="25603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2266950</xdr:colOff>
                <xdr:row>1</xdr:row>
                <xdr:rowOff>66675</xdr:rowOff>
              </to>
            </anchor>
          </controlPr>
        </control>
      </mc:Choice>
      <mc:Fallback>
        <control shapeId="25603" r:id="rId4" name="Control 3"/>
      </mc:Fallback>
    </mc:AlternateContent>
    <mc:AlternateContent xmlns:mc="http://schemas.openxmlformats.org/markup-compatibility/2006">
      <mc:Choice Requires="x14">
        <control shapeId="25602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1638300</xdr:colOff>
                <xdr:row>1</xdr:row>
                <xdr:rowOff>66675</xdr:rowOff>
              </to>
            </anchor>
          </controlPr>
        </control>
      </mc:Choice>
      <mc:Fallback>
        <control shapeId="25602" r:id="rId6" name="Control 2"/>
      </mc:Fallback>
    </mc:AlternateContent>
    <mc:AlternateContent xmlns:mc="http://schemas.openxmlformats.org/markup-compatibility/2006">
      <mc:Choice Requires="x14">
        <control shapeId="25601" r:id="rId8" name="Control 1">
          <controlPr defaultSize="0" r:id="rId9">
            <anchor moveWithCells="1">
              <from>
                <xdr:col>1</xdr:col>
                <xdr:colOff>657225</xdr:colOff>
                <xdr:row>0</xdr:row>
                <xdr:rowOff>0</xdr:rowOff>
              </from>
              <to>
                <xdr:col>1</xdr:col>
                <xdr:colOff>1666875</xdr:colOff>
                <xdr:row>1</xdr:row>
                <xdr:rowOff>66675</xdr:rowOff>
              </to>
            </anchor>
          </controlPr>
        </control>
      </mc:Choice>
      <mc:Fallback>
        <control shapeId="25601" r:id="rId8" name="Control 1"/>
      </mc:Fallback>
    </mc:AlternateContent>
  </control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19749B-4DC7-41BC-A4B8-1B38A2110C9F}">
  <sheetPr codeName="Sheet8">
    <tabColor rgb="FFFFC000"/>
  </sheetPr>
  <dimension ref="A2:K23"/>
  <sheetViews>
    <sheetView showGridLines="0" zoomScale="130" zoomScaleNormal="130" workbookViewId="0">
      <selection activeCell="I18" sqref="I18"/>
    </sheetView>
  </sheetViews>
  <sheetFormatPr defaultColWidth="9.140625" defaultRowHeight="14.25" x14ac:dyDescent="0.2"/>
  <cols>
    <col min="1" max="1" width="10.7109375" style="49" customWidth="1"/>
    <col min="2" max="2" width="29.85546875" style="49" bestFit="1" customWidth="1"/>
    <col min="3" max="6" width="11.42578125" style="49" customWidth="1"/>
    <col min="7" max="8" width="9.140625" style="49"/>
    <col min="9" max="9" width="11" style="49" bestFit="1" customWidth="1"/>
    <col min="10" max="16384" width="9.140625" style="49"/>
  </cols>
  <sheetData>
    <row r="2" spans="1:11" x14ac:dyDescent="0.2">
      <c r="B2" s="218"/>
      <c r="C2" s="218"/>
      <c r="D2" s="218"/>
      <c r="E2" s="218"/>
      <c r="F2" s="218"/>
    </row>
    <row r="3" spans="1:11" x14ac:dyDescent="0.2">
      <c r="B3" s="218"/>
      <c r="C3" s="218"/>
      <c r="D3" s="218"/>
      <c r="E3" s="218"/>
      <c r="F3" s="218"/>
    </row>
    <row r="4" spans="1:11" x14ac:dyDescent="0.2">
      <c r="B4" s="218"/>
      <c r="C4" s="218"/>
      <c r="D4" s="218"/>
      <c r="E4" s="218"/>
      <c r="F4" s="218"/>
    </row>
    <row r="5" spans="1:11" x14ac:dyDescent="0.2">
      <c r="B5" s="219"/>
      <c r="C5" s="219"/>
      <c r="D5" s="219"/>
      <c r="E5" s="219"/>
      <c r="F5" s="219"/>
    </row>
    <row r="6" spans="1:11" x14ac:dyDescent="0.2">
      <c r="B6" s="219"/>
      <c r="C6" s="219"/>
      <c r="D6" s="219"/>
      <c r="E6" s="219"/>
      <c r="F6" s="219"/>
    </row>
    <row r="7" spans="1:11" x14ac:dyDescent="0.2">
      <c r="B7" s="220"/>
      <c r="C7" s="220"/>
      <c r="D7" s="220"/>
      <c r="E7" s="220"/>
      <c r="F7" s="220"/>
    </row>
    <row r="8" spans="1:11" ht="15" thickBot="1" x14ac:dyDescent="0.25">
      <c r="B8" s="220"/>
      <c r="C8" s="220"/>
      <c r="D8" s="220"/>
      <c r="E8" s="220"/>
      <c r="F8" s="220"/>
    </row>
    <row r="9" spans="1:11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11" x14ac:dyDescent="0.2">
      <c r="A10" s="50">
        <v>511101</v>
      </c>
      <c r="B10" s="94" t="s">
        <v>114</v>
      </c>
      <c r="C10" s="88">
        <v>989063.94319999998</v>
      </c>
      <c r="D10" s="88">
        <v>0</v>
      </c>
      <c r="E10" s="88">
        <v>0</v>
      </c>
      <c r="F10" s="90">
        <f t="shared" ref="F10:F20" si="0">SUM(C10:E10)</f>
        <v>989063.94319999998</v>
      </c>
    </row>
    <row r="11" spans="1:11" x14ac:dyDescent="0.2">
      <c r="A11" s="50">
        <v>512401</v>
      </c>
      <c r="B11" s="95" t="s">
        <v>115</v>
      </c>
      <c r="C11" s="96">
        <v>142272.98320300001</v>
      </c>
      <c r="D11" s="96">
        <v>0</v>
      </c>
      <c r="E11" s="96">
        <v>0</v>
      </c>
      <c r="F11" s="97">
        <f t="shared" si="0"/>
        <v>142272.98320300001</v>
      </c>
    </row>
    <row r="12" spans="1:11" x14ac:dyDescent="0.2">
      <c r="A12" s="50">
        <v>521101</v>
      </c>
      <c r="B12" s="95" t="s">
        <v>116</v>
      </c>
      <c r="C12" s="96">
        <v>1000</v>
      </c>
      <c r="D12" s="96">
        <v>0</v>
      </c>
      <c r="E12" s="96">
        <v>0</v>
      </c>
      <c r="F12" s="97">
        <f t="shared" si="0"/>
        <v>1000</v>
      </c>
    </row>
    <row r="13" spans="1:11" x14ac:dyDescent="0.2">
      <c r="A13" s="50">
        <v>521201</v>
      </c>
      <c r="B13" s="95" t="s">
        <v>117</v>
      </c>
      <c r="C13" s="96">
        <v>130000</v>
      </c>
      <c r="D13" s="96">
        <v>0</v>
      </c>
      <c r="E13" s="96">
        <v>0</v>
      </c>
      <c r="F13" s="97">
        <f t="shared" si="0"/>
        <v>130000</v>
      </c>
    </row>
    <row r="14" spans="1:11" x14ac:dyDescent="0.2">
      <c r="A14" s="50">
        <v>521203</v>
      </c>
      <c r="B14" s="95" t="s">
        <v>124</v>
      </c>
      <c r="C14" s="96">
        <v>0</v>
      </c>
      <c r="D14" s="96">
        <v>0</v>
      </c>
      <c r="E14" s="96">
        <v>0</v>
      </c>
      <c r="F14" s="97">
        <f t="shared" si="0"/>
        <v>0</v>
      </c>
    </row>
    <row r="15" spans="1:11" x14ac:dyDescent="0.2">
      <c r="A15" s="50">
        <v>523501</v>
      </c>
      <c r="B15" s="95" t="s">
        <v>119</v>
      </c>
      <c r="C15" s="96">
        <v>5000</v>
      </c>
      <c r="D15" s="96">
        <v>0</v>
      </c>
      <c r="E15" s="96">
        <v>0</v>
      </c>
      <c r="F15" s="97">
        <f t="shared" si="0"/>
        <v>5000</v>
      </c>
    </row>
    <row r="16" spans="1:11" x14ac:dyDescent="0.2">
      <c r="A16" s="50">
        <v>523601</v>
      </c>
      <c r="B16" s="95" t="s">
        <v>120</v>
      </c>
      <c r="C16" s="96">
        <v>5100</v>
      </c>
      <c r="D16" s="96">
        <v>0</v>
      </c>
      <c r="E16" s="96">
        <v>0</v>
      </c>
      <c r="F16" s="97">
        <f t="shared" si="0"/>
        <v>5100</v>
      </c>
      <c r="K16" s="49" t="s">
        <v>81</v>
      </c>
    </row>
    <row r="17" spans="1:9" x14ac:dyDescent="0.2">
      <c r="A17" s="50">
        <v>523701</v>
      </c>
      <c r="B17" s="95" t="s">
        <v>121</v>
      </c>
      <c r="C17" s="96">
        <v>14000</v>
      </c>
      <c r="D17" s="96">
        <v>0</v>
      </c>
      <c r="E17" s="96">
        <v>0</v>
      </c>
      <c r="F17" s="97">
        <f t="shared" si="0"/>
        <v>14000</v>
      </c>
    </row>
    <row r="18" spans="1:9" x14ac:dyDescent="0.2">
      <c r="A18" s="50">
        <v>523801</v>
      </c>
      <c r="B18" s="95" t="s">
        <v>126</v>
      </c>
      <c r="C18" s="96">
        <v>1055</v>
      </c>
      <c r="D18" s="96">
        <v>0</v>
      </c>
      <c r="E18" s="96">
        <v>0</v>
      </c>
      <c r="F18" s="97">
        <f t="shared" si="0"/>
        <v>1055</v>
      </c>
    </row>
    <row r="19" spans="1:9" x14ac:dyDescent="0.2">
      <c r="A19" s="50">
        <v>531101</v>
      </c>
      <c r="B19" s="95" t="s">
        <v>122</v>
      </c>
      <c r="C19" s="96">
        <v>850</v>
      </c>
      <c r="D19" s="96">
        <v>0</v>
      </c>
      <c r="E19" s="96">
        <v>0</v>
      </c>
      <c r="F19" s="97">
        <f t="shared" si="0"/>
        <v>850</v>
      </c>
    </row>
    <row r="20" spans="1:9" ht="15" thickBot="1" x14ac:dyDescent="0.25">
      <c r="A20" s="50">
        <v>531401</v>
      </c>
      <c r="B20" s="68" t="s">
        <v>141</v>
      </c>
      <c r="C20" s="96">
        <v>250</v>
      </c>
      <c r="D20" s="96">
        <v>0</v>
      </c>
      <c r="E20" s="96">
        <v>0</v>
      </c>
      <c r="F20" s="72">
        <f t="shared" si="0"/>
        <v>250</v>
      </c>
    </row>
    <row r="21" spans="1:9" ht="15" thickBot="1" x14ac:dyDescent="0.25">
      <c r="A21" s="50"/>
      <c r="B21" s="76" t="s">
        <v>173</v>
      </c>
      <c r="C21" s="77">
        <f>SUM(C10:C20)</f>
        <v>1288591.926403</v>
      </c>
      <c r="D21" s="77">
        <f>SUM(D10:D20)</f>
        <v>0</v>
      </c>
      <c r="E21" s="77">
        <f>SUM(E10:E20)</f>
        <v>0</v>
      </c>
      <c r="F21" s="78">
        <f>SUM(F10:F20)</f>
        <v>1288591.926403</v>
      </c>
      <c r="I21" s="62"/>
    </row>
    <row r="22" spans="1:9" ht="15" thickBot="1" x14ac:dyDescent="0.25">
      <c r="A22" s="50"/>
      <c r="B22" s="91" t="s">
        <v>174</v>
      </c>
      <c r="C22" s="80">
        <v>1385451.1163910001</v>
      </c>
      <c r="D22" s="80">
        <v>11630</v>
      </c>
      <c r="E22" s="80">
        <v>93040</v>
      </c>
      <c r="F22" s="81">
        <f>SUM(C22:E22)</f>
        <v>1490121.1163910001</v>
      </c>
    </row>
    <row r="23" spans="1:9" ht="15.75" thickTop="1" thickBot="1" x14ac:dyDescent="0.25">
      <c r="A23" s="50"/>
      <c r="B23" s="82" t="s">
        <v>175</v>
      </c>
      <c r="C23" s="83">
        <f>C21-C22</f>
        <v>-96859.189988000086</v>
      </c>
      <c r="D23" s="83">
        <f t="shared" ref="D23:F23" si="1">D21-D22</f>
        <v>-11630</v>
      </c>
      <c r="E23" s="83">
        <f t="shared" si="1"/>
        <v>-93040</v>
      </c>
      <c r="F23" s="84">
        <f t="shared" si="1"/>
        <v>-201529.18998800009</v>
      </c>
    </row>
  </sheetData>
  <mergeCells count="4">
    <mergeCell ref="B2:F4"/>
    <mergeCell ref="B5:F5"/>
    <mergeCell ref="B6:F6"/>
    <mergeCell ref="B7:F8"/>
  </mergeCells>
  <conditionalFormatting sqref="C21:C22">
    <cfRule type="cellIs" dxfId="13" priority="1" operator="lessThan">
      <formula>0</formula>
    </cfRule>
  </conditionalFormatting>
  <conditionalFormatting sqref="C10:E10 C23:F23">
    <cfRule type="cellIs" dxfId="12" priority="2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6627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2</xdr:col>
                <xdr:colOff>438150</xdr:colOff>
                <xdr:row>1</xdr:row>
                <xdr:rowOff>114300</xdr:rowOff>
              </to>
            </anchor>
          </controlPr>
        </control>
      </mc:Choice>
      <mc:Fallback>
        <control shapeId="26627" r:id="rId4" name="Control 3"/>
      </mc:Fallback>
    </mc:AlternateContent>
    <mc:AlternateContent xmlns:mc="http://schemas.openxmlformats.org/markup-compatibility/2006">
      <mc:Choice Requires="x14">
        <control shapeId="26626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1809750</xdr:colOff>
                <xdr:row>1</xdr:row>
                <xdr:rowOff>114300</xdr:rowOff>
              </to>
            </anchor>
          </controlPr>
        </control>
      </mc:Choice>
      <mc:Fallback>
        <control shapeId="26626" r:id="rId6" name="Control 2"/>
      </mc:Fallback>
    </mc:AlternateContent>
    <mc:AlternateContent xmlns:mc="http://schemas.openxmlformats.org/markup-compatibility/2006">
      <mc:Choice Requires="x14">
        <control shapeId="26625" r:id="rId8" name="Control 1">
          <controlPr defaultSize="0" r:id="rId9">
            <anchor moveWithCells="1">
              <from>
                <xdr:col>1</xdr:col>
                <xdr:colOff>714375</xdr:colOff>
                <xdr:row>0</xdr:row>
                <xdr:rowOff>0</xdr:rowOff>
              </from>
              <to>
                <xdr:col>1</xdr:col>
                <xdr:colOff>1905000</xdr:colOff>
                <xdr:row>1</xdr:row>
                <xdr:rowOff>114300</xdr:rowOff>
              </to>
            </anchor>
          </controlPr>
        </control>
      </mc:Choice>
      <mc:Fallback>
        <control shapeId="26625" r:id="rId8" name="Control 1"/>
      </mc:Fallback>
    </mc:AlternateContent>
  </control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6B5F11-1304-4E18-B139-A3FB6B34D3BC}">
  <sheetPr codeName="Sheet9"/>
  <dimension ref="A2:L24"/>
  <sheetViews>
    <sheetView showGridLines="0" zoomScale="120" zoomScaleNormal="120" workbookViewId="0">
      <selection activeCell="I18" sqref="I18"/>
    </sheetView>
  </sheetViews>
  <sheetFormatPr defaultColWidth="9.140625" defaultRowHeight="14.25" x14ac:dyDescent="0.2"/>
  <cols>
    <col min="1" max="1" width="12.140625" style="49" customWidth="1"/>
    <col min="2" max="2" width="35.7109375" style="49" customWidth="1"/>
    <col min="3" max="3" width="10.140625" style="49" bestFit="1" customWidth="1"/>
    <col min="4" max="4" width="9.5703125" style="49" bestFit="1" customWidth="1"/>
    <col min="5" max="5" width="11.140625" style="49" customWidth="1"/>
    <col min="6" max="6" width="11.5703125" style="49" customWidth="1"/>
    <col min="7" max="8" width="9.140625" style="49"/>
    <col min="9" max="9" width="11" style="49" bestFit="1" customWidth="1"/>
    <col min="10" max="16384" width="9.140625" style="49"/>
  </cols>
  <sheetData>
    <row r="2" spans="1:12" x14ac:dyDescent="0.2">
      <c r="B2" s="218"/>
      <c r="C2" s="218"/>
      <c r="D2" s="218"/>
      <c r="E2" s="218"/>
      <c r="F2" s="218"/>
    </row>
    <row r="3" spans="1:12" x14ac:dyDescent="0.2">
      <c r="B3" s="218"/>
      <c r="C3" s="218"/>
      <c r="D3" s="218"/>
      <c r="E3" s="218"/>
      <c r="F3" s="218"/>
    </row>
    <row r="4" spans="1:12" x14ac:dyDescent="0.2">
      <c r="B4" s="218"/>
      <c r="C4" s="218"/>
      <c r="D4" s="218"/>
      <c r="E4" s="218"/>
      <c r="F4" s="218"/>
    </row>
    <row r="5" spans="1:12" x14ac:dyDescent="0.2">
      <c r="B5" s="219"/>
      <c r="C5" s="219"/>
      <c r="D5" s="219"/>
      <c r="E5" s="219"/>
      <c r="F5" s="219"/>
    </row>
    <row r="6" spans="1:12" x14ac:dyDescent="0.2">
      <c r="B6" s="219"/>
      <c r="C6" s="219"/>
      <c r="D6" s="219"/>
      <c r="E6" s="219"/>
      <c r="F6" s="219"/>
    </row>
    <row r="7" spans="1:12" x14ac:dyDescent="0.2">
      <c r="B7" s="220"/>
      <c r="C7" s="220"/>
      <c r="D7" s="220"/>
      <c r="E7" s="220"/>
      <c r="F7" s="220"/>
    </row>
    <row r="8" spans="1:12" ht="15" thickBot="1" x14ac:dyDescent="0.25">
      <c r="B8" s="220"/>
      <c r="C8" s="220"/>
      <c r="D8" s="220"/>
      <c r="E8" s="220"/>
      <c r="F8" s="220"/>
    </row>
    <row r="9" spans="1:12" x14ac:dyDescent="0.2">
      <c r="A9" s="50"/>
      <c r="B9" s="51"/>
      <c r="C9" s="221" t="s">
        <v>169</v>
      </c>
      <c r="D9" s="221" t="s">
        <v>170</v>
      </c>
      <c r="E9" s="221" t="s">
        <v>171</v>
      </c>
      <c r="F9" s="53" t="s">
        <v>127</v>
      </c>
    </row>
    <row r="10" spans="1:12" ht="15.75" customHeight="1" thickBot="1" x14ac:dyDescent="0.25">
      <c r="A10" s="50"/>
      <c r="B10" s="54" t="s">
        <v>12</v>
      </c>
      <c r="C10" s="222"/>
      <c r="D10" s="222"/>
      <c r="E10" s="222"/>
      <c r="F10" s="56" t="s">
        <v>113</v>
      </c>
    </row>
    <row r="11" spans="1:12" x14ac:dyDescent="0.2">
      <c r="A11" s="50">
        <v>511101</v>
      </c>
      <c r="B11" s="87" t="s">
        <v>114</v>
      </c>
      <c r="C11" s="88">
        <v>1150047.6976000001</v>
      </c>
      <c r="D11" s="88">
        <v>0</v>
      </c>
      <c r="E11" s="88">
        <v>0</v>
      </c>
      <c r="F11" s="90">
        <f t="shared" ref="F11:F21" si="0">SUM(C11:E11)</f>
        <v>1150047.6976000001</v>
      </c>
    </row>
    <row r="12" spans="1:12" x14ac:dyDescent="0.2">
      <c r="A12" s="50">
        <v>511202</v>
      </c>
      <c r="B12" s="68" t="s">
        <v>135</v>
      </c>
      <c r="C12" s="96">
        <v>156000</v>
      </c>
      <c r="D12" s="96">
        <v>0</v>
      </c>
      <c r="E12" s="96">
        <v>0</v>
      </c>
      <c r="F12" s="72">
        <f t="shared" si="0"/>
        <v>156000</v>
      </c>
    </row>
    <row r="13" spans="1:12" x14ac:dyDescent="0.2">
      <c r="A13" s="50">
        <v>512401</v>
      </c>
      <c r="B13" s="68" t="s">
        <v>115</v>
      </c>
      <c r="C13" s="96">
        <v>134925.601176</v>
      </c>
      <c r="D13" s="96">
        <v>0</v>
      </c>
      <c r="E13" s="96">
        <v>0</v>
      </c>
      <c r="F13" s="72">
        <f t="shared" si="0"/>
        <v>134925.601176</v>
      </c>
    </row>
    <row r="14" spans="1:12" x14ac:dyDescent="0.2">
      <c r="A14" s="50">
        <v>512402</v>
      </c>
      <c r="B14" s="68" t="s">
        <v>142</v>
      </c>
      <c r="C14" s="96">
        <v>23298.68</v>
      </c>
      <c r="D14" s="96">
        <v>0</v>
      </c>
      <c r="E14" s="96">
        <v>0</v>
      </c>
      <c r="F14" s="72">
        <f t="shared" si="0"/>
        <v>23298.68</v>
      </c>
    </row>
    <row r="15" spans="1:12" x14ac:dyDescent="0.2">
      <c r="A15" s="50">
        <v>521101</v>
      </c>
      <c r="B15" s="68" t="s">
        <v>116</v>
      </c>
      <c r="C15" s="96">
        <v>2300</v>
      </c>
      <c r="D15" s="96">
        <v>0</v>
      </c>
      <c r="E15" s="96">
        <v>0</v>
      </c>
      <c r="F15" s="72">
        <f t="shared" si="0"/>
        <v>2300</v>
      </c>
    </row>
    <row r="16" spans="1:12" x14ac:dyDescent="0.2">
      <c r="A16" s="50">
        <v>521202</v>
      </c>
      <c r="B16" s="68" t="s">
        <v>143</v>
      </c>
      <c r="C16" s="96">
        <v>1738181</v>
      </c>
      <c r="D16" s="96">
        <v>40000</v>
      </c>
      <c r="E16" s="96">
        <v>650000</v>
      </c>
      <c r="F16" s="72">
        <f t="shared" si="0"/>
        <v>2428181</v>
      </c>
      <c r="L16" s="49" t="s">
        <v>81</v>
      </c>
    </row>
    <row r="17" spans="1:9" x14ac:dyDescent="0.2">
      <c r="A17" s="50">
        <v>523501</v>
      </c>
      <c r="B17" s="68" t="s">
        <v>119</v>
      </c>
      <c r="C17" s="96">
        <v>12869</v>
      </c>
      <c r="D17" s="96">
        <v>0</v>
      </c>
      <c r="E17" s="96">
        <v>0</v>
      </c>
      <c r="F17" s="72">
        <f t="shared" si="0"/>
        <v>12869</v>
      </c>
    </row>
    <row r="18" spans="1:9" x14ac:dyDescent="0.2">
      <c r="A18" s="50">
        <v>523601</v>
      </c>
      <c r="B18" s="68" t="s">
        <v>120</v>
      </c>
      <c r="C18" s="96">
        <v>84325</v>
      </c>
      <c r="D18" s="96">
        <v>0</v>
      </c>
      <c r="E18" s="96">
        <v>0</v>
      </c>
      <c r="F18" s="72">
        <f t="shared" si="0"/>
        <v>84325</v>
      </c>
    </row>
    <row r="19" spans="1:9" x14ac:dyDescent="0.2">
      <c r="A19" s="50">
        <v>523701</v>
      </c>
      <c r="B19" s="68" t="s">
        <v>121</v>
      </c>
      <c r="C19" s="96">
        <v>3423</v>
      </c>
      <c r="D19" s="96">
        <v>0</v>
      </c>
      <c r="E19" s="96">
        <v>0</v>
      </c>
      <c r="F19" s="72">
        <f t="shared" si="0"/>
        <v>3423</v>
      </c>
    </row>
    <row r="20" spans="1:9" x14ac:dyDescent="0.2">
      <c r="A20" s="50">
        <v>531101</v>
      </c>
      <c r="B20" s="68" t="s">
        <v>122</v>
      </c>
      <c r="C20" s="96">
        <v>42129</v>
      </c>
      <c r="D20" s="96">
        <v>0</v>
      </c>
      <c r="E20" s="96">
        <v>0</v>
      </c>
      <c r="F20" s="72">
        <f t="shared" si="0"/>
        <v>42129</v>
      </c>
    </row>
    <row r="21" spans="1:9" ht="15" thickBot="1" x14ac:dyDescent="0.25">
      <c r="A21" s="50">
        <v>531105</v>
      </c>
      <c r="B21" s="68" t="s">
        <v>123</v>
      </c>
      <c r="C21" s="96">
        <v>472</v>
      </c>
      <c r="D21" s="96">
        <v>0</v>
      </c>
      <c r="E21" s="96">
        <v>0</v>
      </c>
      <c r="F21" s="72">
        <f t="shared" si="0"/>
        <v>472</v>
      </c>
    </row>
    <row r="22" spans="1:9" ht="15" thickBot="1" x14ac:dyDescent="0.25">
      <c r="A22" s="50"/>
      <c r="B22" s="76" t="s">
        <v>173</v>
      </c>
      <c r="C22" s="77">
        <f>SUM(C11:C21)</f>
        <v>3347970.978776</v>
      </c>
      <c r="D22" s="77">
        <f>SUM(D11:D21)</f>
        <v>40000</v>
      </c>
      <c r="E22" s="77">
        <f>SUM(E11:E21)</f>
        <v>650000</v>
      </c>
      <c r="F22" s="78">
        <f>SUM(F11:F21)</f>
        <v>4037970.978776</v>
      </c>
      <c r="I22" s="62"/>
    </row>
    <row r="23" spans="1:9" ht="15" thickBot="1" x14ac:dyDescent="0.25">
      <c r="A23" s="50"/>
      <c r="B23" s="91" t="s">
        <v>174</v>
      </c>
      <c r="C23" s="80">
        <v>2914402.9370920002</v>
      </c>
      <c r="D23" s="80">
        <v>40000</v>
      </c>
      <c r="E23" s="80">
        <v>250000</v>
      </c>
      <c r="F23" s="81">
        <f>SUM(C23:E23)</f>
        <v>3204402.9370920002</v>
      </c>
    </row>
    <row r="24" spans="1:9" ht="15.75" thickTop="1" thickBot="1" x14ac:dyDescent="0.25">
      <c r="A24" s="50"/>
      <c r="B24" s="82" t="s">
        <v>175</v>
      </c>
      <c r="C24" s="83">
        <f>C22-C23</f>
        <v>433568.04168399982</v>
      </c>
      <c r="D24" s="83">
        <f t="shared" ref="D24:F24" si="1">D22-D23</f>
        <v>0</v>
      </c>
      <c r="E24" s="83">
        <f t="shared" si="1"/>
        <v>400000</v>
      </c>
      <c r="F24" s="84">
        <f t="shared" si="1"/>
        <v>833568.04168399982</v>
      </c>
    </row>
  </sheetData>
  <mergeCells count="7">
    <mergeCell ref="B2:F4"/>
    <mergeCell ref="B5:F5"/>
    <mergeCell ref="B6:F6"/>
    <mergeCell ref="B7:F8"/>
    <mergeCell ref="C9:C10"/>
    <mergeCell ref="D9:D10"/>
    <mergeCell ref="E9:E10"/>
  </mergeCells>
  <conditionalFormatting sqref="C11 C24:F24">
    <cfRule type="cellIs" dxfId="11" priority="2" operator="lessThan">
      <formula>0</formula>
    </cfRule>
  </conditionalFormatting>
  <conditionalFormatting sqref="C22:C23">
    <cfRule type="cellIs" dxfId="10" priority="1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27651" r:id="rId4" name="Control 3">
          <controlPr defaultSize="0" r:id="rId5">
            <anchor moveWithCells="1">
              <from>
                <xdr:col>1</xdr:col>
                <xdr:colOff>1285875</xdr:colOff>
                <xdr:row>0</xdr:row>
                <xdr:rowOff>0</xdr:rowOff>
              </from>
              <to>
                <xdr:col>2</xdr:col>
                <xdr:colOff>0</xdr:colOff>
                <xdr:row>1</xdr:row>
                <xdr:rowOff>95250</xdr:rowOff>
              </to>
            </anchor>
          </controlPr>
        </control>
      </mc:Choice>
      <mc:Fallback>
        <control shapeId="27651" r:id="rId4" name="Control 3"/>
      </mc:Fallback>
    </mc:AlternateContent>
    <mc:AlternateContent xmlns:mc="http://schemas.openxmlformats.org/markup-compatibility/2006">
      <mc:Choice Requires="x14">
        <control shapeId="27650" r:id="rId6" name="Control 2">
          <controlPr defaultSize="0" r:id="rId7">
            <anchor moveWithCells="1">
              <from>
                <xdr:col>1</xdr:col>
                <xdr:colOff>657225</xdr:colOff>
                <xdr:row>0</xdr:row>
                <xdr:rowOff>0</xdr:rowOff>
              </from>
              <to>
                <xdr:col>1</xdr:col>
                <xdr:colOff>1752600</xdr:colOff>
                <xdr:row>1</xdr:row>
                <xdr:rowOff>95250</xdr:rowOff>
              </to>
            </anchor>
          </controlPr>
        </control>
      </mc:Choice>
      <mc:Fallback>
        <control shapeId="27650" r:id="rId6" name="Control 2"/>
      </mc:Fallback>
    </mc:AlternateContent>
    <mc:AlternateContent xmlns:mc="http://schemas.openxmlformats.org/markup-compatibility/2006">
      <mc:Choice Requires="x14">
        <control shapeId="27649" r:id="rId8" name="Control 1">
          <controlPr defaultSize="0" r:id="rId9">
            <anchor moveWithCells="1">
              <from>
                <xdr:col>1</xdr:col>
                <xdr:colOff>38100</xdr:colOff>
                <xdr:row>0</xdr:row>
                <xdr:rowOff>0</xdr:rowOff>
              </from>
              <to>
                <xdr:col>1</xdr:col>
                <xdr:colOff>1133475</xdr:colOff>
                <xdr:row>1</xdr:row>
                <xdr:rowOff>95250</xdr:rowOff>
              </to>
            </anchor>
          </controlPr>
        </control>
      </mc:Choice>
      <mc:Fallback>
        <control shapeId="27649" r:id="rId8" name="Control 1"/>
      </mc:Fallback>
    </mc:AlternateContent>
  </controls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CA14E-3083-4862-AED2-B0B285B5E618}">
  <sheetPr codeName="Sheet18">
    <tabColor rgb="FFFFC000"/>
  </sheetPr>
  <dimension ref="A2:I33"/>
  <sheetViews>
    <sheetView showGridLines="0" topLeftCell="A4" zoomScale="110" zoomScaleNormal="110" workbookViewId="0">
      <selection activeCell="I18" sqref="I18"/>
    </sheetView>
  </sheetViews>
  <sheetFormatPr defaultColWidth="9.140625" defaultRowHeight="14.25" x14ac:dyDescent="0.2"/>
  <cols>
    <col min="1" max="1" width="8.140625" style="49" bestFit="1" customWidth="1"/>
    <col min="2" max="2" width="34.140625" style="49" customWidth="1"/>
    <col min="3" max="6" width="12.85546875" style="49" customWidth="1"/>
    <col min="7" max="7" width="12.85546875" style="49" bestFit="1" customWidth="1"/>
    <col min="8" max="8" width="9.140625" style="49"/>
    <col min="9" max="9" width="12.140625" style="49" bestFit="1" customWidth="1"/>
    <col min="10" max="16384" width="9.140625" style="49"/>
  </cols>
  <sheetData>
    <row r="2" spans="1:8" x14ac:dyDescent="0.2">
      <c r="B2" s="218"/>
      <c r="C2" s="218"/>
      <c r="D2" s="218"/>
      <c r="E2" s="218"/>
      <c r="F2" s="218"/>
    </row>
    <row r="3" spans="1:8" x14ac:dyDescent="0.2">
      <c r="B3" s="218"/>
      <c r="C3" s="218"/>
      <c r="D3" s="218"/>
      <c r="E3" s="218"/>
      <c r="F3" s="218"/>
    </row>
    <row r="4" spans="1:8" x14ac:dyDescent="0.2">
      <c r="B4" s="218"/>
      <c r="C4" s="218"/>
      <c r="D4" s="218"/>
      <c r="E4" s="218"/>
      <c r="F4" s="218"/>
    </row>
    <row r="5" spans="1:8" x14ac:dyDescent="0.2">
      <c r="B5" s="219"/>
      <c r="C5" s="219"/>
      <c r="D5" s="219"/>
      <c r="E5" s="219"/>
      <c r="F5" s="219"/>
    </row>
    <row r="6" spans="1:8" x14ac:dyDescent="0.2">
      <c r="B6" s="219"/>
      <c r="C6" s="219"/>
      <c r="D6" s="219"/>
      <c r="E6" s="219"/>
      <c r="F6" s="219"/>
    </row>
    <row r="7" spans="1:8" x14ac:dyDescent="0.2">
      <c r="B7" s="220"/>
      <c r="C7" s="220"/>
      <c r="D7" s="220"/>
      <c r="E7" s="220"/>
      <c r="F7" s="220"/>
    </row>
    <row r="8" spans="1:8" ht="15" thickBot="1" x14ac:dyDescent="0.25">
      <c r="B8" s="220"/>
      <c r="C8" s="220"/>
      <c r="D8" s="220"/>
      <c r="E8" s="220"/>
      <c r="F8" s="220"/>
    </row>
    <row r="9" spans="1:8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8" x14ac:dyDescent="0.2">
      <c r="A10" s="50">
        <v>511101</v>
      </c>
      <c r="B10" s="94" t="s">
        <v>114</v>
      </c>
      <c r="C10" s="88">
        <v>14502250.1512</v>
      </c>
      <c r="D10" s="88">
        <v>0</v>
      </c>
      <c r="E10" s="88">
        <v>0</v>
      </c>
      <c r="F10" s="90">
        <f t="shared" ref="F10:F29" si="0">SUM(C10:E10)</f>
        <v>14502250.1512</v>
      </c>
      <c r="H10" s="62"/>
    </row>
    <row r="11" spans="1:8" x14ac:dyDescent="0.2">
      <c r="A11" s="50">
        <v>511301</v>
      </c>
      <c r="B11" s="95" t="s">
        <v>136</v>
      </c>
      <c r="C11" s="96">
        <v>343020.42999999993</v>
      </c>
      <c r="D11" s="96">
        <v>0</v>
      </c>
      <c r="E11" s="96">
        <v>0</v>
      </c>
      <c r="F11" s="97">
        <f t="shared" si="0"/>
        <v>343020.42999999993</v>
      </c>
      <c r="H11" s="62"/>
    </row>
    <row r="12" spans="1:8" x14ac:dyDescent="0.2">
      <c r="A12" s="50">
        <v>512401</v>
      </c>
      <c r="B12" s="95" t="s">
        <v>115</v>
      </c>
      <c r="C12" s="96">
        <v>2084311.4554530003</v>
      </c>
      <c r="D12" s="96">
        <v>0</v>
      </c>
      <c r="E12" s="96">
        <v>0</v>
      </c>
      <c r="F12" s="97">
        <f t="shared" si="0"/>
        <v>2084311.4554530003</v>
      </c>
      <c r="H12" s="62"/>
    </row>
    <row r="13" spans="1:8" x14ac:dyDescent="0.2">
      <c r="A13" s="50">
        <v>521101</v>
      </c>
      <c r="B13" s="95" t="s">
        <v>116</v>
      </c>
      <c r="C13" s="96">
        <v>34440</v>
      </c>
      <c r="D13" s="96">
        <v>0</v>
      </c>
      <c r="E13" s="96">
        <v>0</v>
      </c>
      <c r="F13" s="97">
        <f t="shared" si="0"/>
        <v>34440</v>
      </c>
      <c r="H13" s="62"/>
    </row>
    <row r="14" spans="1:8" x14ac:dyDescent="0.2">
      <c r="A14" s="50">
        <v>521201</v>
      </c>
      <c r="B14" s="95" t="s">
        <v>117</v>
      </c>
      <c r="C14" s="96">
        <v>14688002</v>
      </c>
      <c r="D14" s="96">
        <v>0</v>
      </c>
      <c r="E14" s="96">
        <v>0</v>
      </c>
      <c r="F14" s="97">
        <f t="shared" si="0"/>
        <v>14688002</v>
      </c>
      <c r="H14" s="62"/>
    </row>
    <row r="15" spans="1:8" x14ac:dyDescent="0.2">
      <c r="A15" s="50">
        <v>521209</v>
      </c>
      <c r="B15" s="95" t="s">
        <v>144</v>
      </c>
      <c r="C15" s="96">
        <v>50142</v>
      </c>
      <c r="D15" s="96">
        <v>0</v>
      </c>
      <c r="E15" s="96">
        <v>0</v>
      </c>
      <c r="F15" s="97">
        <f t="shared" si="0"/>
        <v>50142</v>
      </c>
      <c r="H15" s="62"/>
    </row>
    <row r="16" spans="1:8" x14ac:dyDescent="0.2">
      <c r="A16" s="50">
        <v>522302</v>
      </c>
      <c r="B16" s="58" t="s">
        <v>145</v>
      </c>
      <c r="C16" s="96">
        <v>35200</v>
      </c>
      <c r="D16" s="96">
        <v>0</v>
      </c>
      <c r="E16" s="96">
        <v>0</v>
      </c>
      <c r="F16" s="97">
        <f t="shared" si="0"/>
        <v>35200</v>
      </c>
      <c r="H16" s="62"/>
    </row>
    <row r="17" spans="1:9" x14ac:dyDescent="0.2">
      <c r="A17" s="50">
        <v>523201</v>
      </c>
      <c r="B17" s="95" t="s">
        <v>146</v>
      </c>
      <c r="C17" s="96">
        <v>18279249</v>
      </c>
      <c r="D17" s="96">
        <v>0</v>
      </c>
      <c r="E17" s="96">
        <v>0</v>
      </c>
      <c r="F17" s="97">
        <f t="shared" si="0"/>
        <v>18279249</v>
      </c>
      <c r="H17" s="62"/>
    </row>
    <row r="18" spans="1:9" x14ac:dyDescent="0.2">
      <c r="A18" s="50">
        <v>523304</v>
      </c>
      <c r="B18" s="95" t="s">
        <v>118</v>
      </c>
      <c r="C18" s="96">
        <v>250000</v>
      </c>
      <c r="D18" s="96">
        <v>0</v>
      </c>
      <c r="E18" s="96">
        <v>0</v>
      </c>
      <c r="F18" s="97">
        <f t="shared" si="0"/>
        <v>250000</v>
      </c>
      <c r="H18" s="62"/>
    </row>
    <row r="19" spans="1:9" x14ac:dyDescent="0.2">
      <c r="A19" s="50">
        <v>523401</v>
      </c>
      <c r="B19" s="95" t="s">
        <v>125</v>
      </c>
      <c r="C19" s="96">
        <v>183150</v>
      </c>
      <c r="D19" s="96">
        <v>0</v>
      </c>
      <c r="E19" s="96">
        <v>0</v>
      </c>
      <c r="F19" s="97">
        <f t="shared" si="0"/>
        <v>183150</v>
      </c>
      <c r="H19" s="62"/>
    </row>
    <row r="20" spans="1:9" x14ac:dyDescent="0.2">
      <c r="A20" s="50">
        <v>523501</v>
      </c>
      <c r="B20" s="95" t="s">
        <v>119</v>
      </c>
      <c r="C20" s="96">
        <v>25632</v>
      </c>
      <c r="D20" s="96">
        <v>0</v>
      </c>
      <c r="E20" s="96">
        <v>0</v>
      </c>
      <c r="F20" s="97">
        <f t="shared" si="0"/>
        <v>25632</v>
      </c>
      <c r="H20" s="62"/>
    </row>
    <row r="21" spans="1:9" x14ac:dyDescent="0.2">
      <c r="A21" s="50">
        <v>523601</v>
      </c>
      <c r="B21" s="95" t="s">
        <v>120</v>
      </c>
      <c r="C21" s="96">
        <v>30008.39</v>
      </c>
      <c r="D21" s="96">
        <v>0</v>
      </c>
      <c r="E21" s="96">
        <v>0</v>
      </c>
      <c r="F21" s="97">
        <f t="shared" si="0"/>
        <v>30008.39</v>
      </c>
      <c r="H21" s="62"/>
    </row>
    <row r="22" spans="1:9" x14ac:dyDescent="0.2">
      <c r="A22" s="50">
        <v>523701</v>
      </c>
      <c r="B22" s="95" t="s">
        <v>121</v>
      </c>
      <c r="C22" s="96">
        <v>34393</v>
      </c>
      <c r="D22" s="96">
        <v>0</v>
      </c>
      <c r="E22" s="96">
        <v>0</v>
      </c>
      <c r="F22" s="97">
        <f t="shared" si="0"/>
        <v>34393</v>
      </c>
      <c r="H22" s="62"/>
    </row>
    <row r="23" spans="1:9" x14ac:dyDescent="0.2">
      <c r="A23" s="50">
        <v>523851</v>
      </c>
      <c r="B23" s="95" t="s">
        <v>140</v>
      </c>
      <c r="C23" s="96">
        <v>16000000</v>
      </c>
      <c r="D23" s="96">
        <v>0</v>
      </c>
      <c r="E23" s="96">
        <v>0</v>
      </c>
      <c r="F23" s="97">
        <f t="shared" si="0"/>
        <v>16000000</v>
      </c>
      <c r="H23" s="62"/>
    </row>
    <row r="24" spans="1:9" x14ac:dyDescent="0.2">
      <c r="A24" s="50">
        <v>531101</v>
      </c>
      <c r="B24" s="95" t="s">
        <v>122</v>
      </c>
      <c r="C24" s="96">
        <v>52971</v>
      </c>
      <c r="D24" s="96">
        <v>0</v>
      </c>
      <c r="E24" s="96">
        <v>0</v>
      </c>
      <c r="F24" s="97">
        <f t="shared" si="0"/>
        <v>52971</v>
      </c>
      <c r="H24" s="62"/>
    </row>
    <row r="25" spans="1:9" x14ac:dyDescent="0.2">
      <c r="A25" s="50">
        <v>531105</v>
      </c>
      <c r="B25" s="95" t="s">
        <v>123</v>
      </c>
      <c r="C25" s="96">
        <v>8250</v>
      </c>
      <c r="D25" s="96">
        <v>0</v>
      </c>
      <c r="E25" s="96">
        <v>0</v>
      </c>
      <c r="F25" s="97">
        <f t="shared" si="0"/>
        <v>8250</v>
      </c>
      <c r="H25" s="62"/>
    </row>
    <row r="26" spans="1:9" x14ac:dyDescent="0.2">
      <c r="A26" s="50">
        <v>531501</v>
      </c>
      <c r="B26" s="95" t="s">
        <v>147</v>
      </c>
      <c r="C26" s="96">
        <v>1500000</v>
      </c>
      <c r="D26" s="96">
        <v>0</v>
      </c>
      <c r="E26" s="96">
        <v>0</v>
      </c>
      <c r="F26" s="97">
        <f t="shared" si="0"/>
        <v>1500000</v>
      </c>
      <c r="H26" s="62"/>
    </row>
    <row r="27" spans="1:9" x14ac:dyDescent="0.2">
      <c r="A27" s="50">
        <v>531701</v>
      </c>
      <c r="B27" s="95" t="s">
        <v>148</v>
      </c>
      <c r="C27" s="96">
        <v>40499</v>
      </c>
      <c r="D27" s="96">
        <v>0</v>
      </c>
      <c r="E27" s="96">
        <v>0</v>
      </c>
      <c r="F27" s="97">
        <f t="shared" si="0"/>
        <v>40499</v>
      </c>
      <c r="H27" s="62"/>
    </row>
    <row r="28" spans="1:9" x14ac:dyDescent="0.2">
      <c r="A28" s="50">
        <v>573001</v>
      </c>
      <c r="B28" s="58" t="s">
        <v>131</v>
      </c>
      <c r="C28" s="96">
        <v>428000</v>
      </c>
      <c r="D28" s="96">
        <v>0</v>
      </c>
      <c r="E28" s="96">
        <v>0</v>
      </c>
      <c r="F28" s="97">
        <f t="shared" si="0"/>
        <v>428000</v>
      </c>
      <c r="H28" s="62"/>
    </row>
    <row r="29" spans="1:9" ht="15" thickBot="1" x14ac:dyDescent="0.25">
      <c r="A29" s="50">
        <v>573002</v>
      </c>
      <c r="B29" s="68" t="s">
        <v>149</v>
      </c>
      <c r="C29" s="96">
        <v>35227054</v>
      </c>
      <c r="D29" s="96">
        <v>0</v>
      </c>
      <c r="E29" s="96">
        <v>0</v>
      </c>
      <c r="F29" s="72">
        <f t="shared" si="0"/>
        <v>35227054</v>
      </c>
      <c r="H29" s="62"/>
    </row>
    <row r="30" spans="1:9" ht="15" thickBot="1" x14ac:dyDescent="0.25">
      <c r="A30" s="50"/>
      <c r="B30" s="76" t="s">
        <v>173</v>
      </c>
      <c r="C30" s="77">
        <f>SUM(C10:C29)</f>
        <v>103796572.426653</v>
      </c>
      <c r="D30" s="77">
        <f>SUM(D10:D29)</f>
        <v>0</v>
      </c>
      <c r="E30" s="77">
        <f>SUM(E10:E29)</f>
        <v>0</v>
      </c>
      <c r="F30" s="78">
        <f>SUM(F10:F29)</f>
        <v>103796572.426653</v>
      </c>
      <c r="I30" s="62"/>
    </row>
    <row r="31" spans="1:9" ht="15" thickBot="1" x14ac:dyDescent="0.25">
      <c r="A31" s="50"/>
      <c r="B31" s="91" t="s">
        <v>174</v>
      </c>
      <c r="C31" s="80">
        <v>100862589.202755</v>
      </c>
      <c r="D31" s="80">
        <v>0</v>
      </c>
      <c r="E31" s="80">
        <v>0</v>
      </c>
      <c r="F31" s="81">
        <f>SUM(C31:E31)</f>
        <v>100862589.202755</v>
      </c>
    </row>
    <row r="32" spans="1:9" ht="15.75" thickTop="1" thickBot="1" x14ac:dyDescent="0.25">
      <c r="A32" s="50"/>
      <c r="B32" s="82" t="s">
        <v>175</v>
      </c>
      <c r="C32" s="83">
        <f>C30-C31</f>
        <v>2933983.2238979936</v>
      </c>
      <c r="D32" s="83">
        <f t="shared" ref="D32:E32" si="1">D30-D31</f>
        <v>0</v>
      </c>
      <c r="E32" s="83">
        <f t="shared" si="1"/>
        <v>0</v>
      </c>
      <c r="F32" s="84">
        <f>F30-F31</f>
        <v>2933983.2238979936</v>
      </c>
    </row>
    <row r="33" spans="4:4" x14ac:dyDescent="0.2">
      <c r="D33" s="49" t="s">
        <v>177</v>
      </c>
    </row>
  </sheetData>
  <mergeCells count="4">
    <mergeCell ref="B2:F4"/>
    <mergeCell ref="B5:F5"/>
    <mergeCell ref="B6:F6"/>
    <mergeCell ref="B7:F8"/>
  </mergeCells>
  <conditionalFormatting sqref="C30:C31">
    <cfRule type="cellIs" dxfId="9" priority="1" operator="lessThan">
      <formula>0</formula>
    </cfRule>
  </conditionalFormatting>
  <conditionalFormatting sqref="C10:E10 C32:F32">
    <cfRule type="cellIs" dxfId="8" priority="2" operator="lessThan">
      <formula>0</formula>
    </cfRule>
  </conditionalFormatting>
  <pageMargins left="0.75" right="0.75" top="1" bottom="1" header="0.5" footer="0.5"/>
  <pageSetup scale="93" orientation="portrait" r:id="rId1"/>
  <drawing r:id="rId2"/>
  <legacyDrawing r:id="rId3"/>
  <controls>
    <mc:AlternateContent xmlns:mc="http://schemas.openxmlformats.org/markup-compatibility/2006">
      <mc:Choice Requires="x14">
        <control shapeId="28675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1</xdr:col>
                <xdr:colOff>2257425</xdr:colOff>
                <xdr:row>1</xdr:row>
                <xdr:rowOff>66675</xdr:rowOff>
              </to>
            </anchor>
          </controlPr>
        </control>
      </mc:Choice>
      <mc:Fallback>
        <control shapeId="28675" r:id="rId4" name="Control 3"/>
      </mc:Fallback>
    </mc:AlternateContent>
    <mc:AlternateContent xmlns:mc="http://schemas.openxmlformats.org/markup-compatibility/2006">
      <mc:Choice Requires="x14">
        <control shapeId="28674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1628775</xdr:colOff>
                <xdr:row>1</xdr:row>
                <xdr:rowOff>66675</xdr:rowOff>
              </to>
            </anchor>
          </controlPr>
        </control>
      </mc:Choice>
      <mc:Fallback>
        <control shapeId="28674" r:id="rId6" name="Control 2"/>
      </mc:Fallback>
    </mc:AlternateContent>
    <mc:AlternateContent xmlns:mc="http://schemas.openxmlformats.org/markup-compatibility/2006">
      <mc:Choice Requires="x14">
        <control shapeId="28673" r:id="rId8" name="Control 1">
          <controlPr defaultSize="0" r:id="rId9">
            <anchor moveWithCells="1">
              <from>
                <xdr:col>1</xdr:col>
                <xdr:colOff>542925</xdr:colOff>
                <xdr:row>0</xdr:row>
                <xdr:rowOff>0</xdr:rowOff>
              </from>
              <to>
                <xdr:col>1</xdr:col>
                <xdr:colOff>1552575</xdr:colOff>
                <xdr:row>1</xdr:row>
                <xdr:rowOff>66675</xdr:rowOff>
              </to>
            </anchor>
          </controlPr>
        </control>
      </mc:Choice>
      <mc:Fallback>
        <control shapeId="28673" r:id="rId8" name="Control 1"/>
      </mc:Fallback>
    </mc:AlternateContent>
  </controls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1F5F6-3903-40BB-BEF9-F51949B475F5}">
  <sheetPr codeName="Sheet5"/>
  <dimension ref="A2:I33"/>
  <sheetViews>
    <sheetView showGridLines="0" topLeftCell="A8" zoomScale="110" zoomScaleNormal="110" workbookViewId="0">
      <selection activeCell="I18" sqref="I18"/>
    </sheetView>
  </sheetViews>
  <sheetFormatPr defaultColWidth="9.140625" defaultRowHeight="14.25" x14ac:dyDescent="0.2"/>
  <cols>
    <col min="1" max="1" width="8.140625" style="49" bestFit="1" customWidth="1"/>
    <col min="2" max="2" width="34.42578125" style="49" customWidth="1"/>
    <col min="3" max="3" width="13.28515625" style="49" customWidth="1"/>
    <col min="4" max="4" width="11.5703125" style="49" customWidth="1"/>
    <col min="5" max="5" width="15.7109375" style="49" bestFit="1" customWidth="1"/>
    <col min="6" max="6" width="12.5703125" style="49" customWidth="1"/>
    <col min="7" max="8" width="9.140625" style="49"/>
    <col min="9" max="9" width="12.140625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x14ac:dyDescent="0.2">
      <c r="B7" s="220"/>
      <c r="C7" s="220"/>
      <c r="D7" s="220"/>
      <c r="E7" s="220"/>
      <c r="F7" s="220"/>
    </row>
    <row r="8" spans="1:6" ht="15" thickBot="1" x14ac:dyDescent="0.25">
      <c r="B8" s="220"/>
      <c r="C8" s="220"/>
      <c r="D8" s="220"/>
      <c r="E8" s="220"/>
      <c r="F8" s="220"/>
    </row>
    <row r="9" spans="1:6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6" x14ac:dyDescent="0.2">
      <c r="A10" s="50">
        <v>511101</v>
      </c>
      <c r="B10" s="94" t="s">
        <v>114</v>
      </c>
      <c r="C10" s="88">
        <v>9731277.9240000006</v>
      </c>
      <c r="D10" s="88">
        <v>0</v>
      </c>
      <c r="E10" s="88">
        <v>0</v>
      </c>
      <c r="F10" s="90">
        <f t="shared" ref="F10:F27" si="0">SUM(C10:E10)</f>
        <v>9731277.9240000006</v>
      </c>
    </row>
    <row r="11" spans="1:6" x14ac:dyDescent="0.2">
      <c r="A11" s="50">
        <v>511301</v>
      </c>
      <c r="B11" s="95" t="s">
        <v>136</v>
      </c>
      <c r="C11" s="96">
        <v>88215.21</v>
      </c>
      <c r="D11" s="96">
        <v>0</v>
      </c>
      <c r="E11" s="96">
        <v>0</v>
      </c>
      <c r="F11" s="97">
        <f t="shared" si="0"/>
        <v>88215.21</v>
      </c>
    </row>
    <row r="12" spans="1:6" x14ac:dyDescent="0.2">
      <c r="A12" s="50">
        <v>512401</v>
      </c>
      <c r="B12" s="95" t="s">
        <v>115</v>
      </c>
      <c r="C12" s="96">
        <v>1381493.5523339999</v>
      </c>
      <c r="D12" s="96">
        <v>0</v>
      </c>
      <c r="E12" s="96">
        <v>0</v>
      </c>
      <c r="F12" s="97">
        <f t="shared" si="0"/>
        <v>1381493.5523339999</v>
      </c>
    </row>
    <row r="13" spans="1:6" x14ac:dyDescent="0.2">
      <c r="A13" s="50">
        <v>521201</v>
      </c>
      <c r="B13" s="95" t="s">
        <v>117</v>
      </c>
      <c r="C13" s="96">
        <v>0</v>
      </c>
      <c r="D13" s="96">
        <v>0</v>
      </c>
      <c r="E13" s="96">
        <v>0</v>
      </c>
      <c r="F13" s="97">
        <f t="shared" si="0"/>
        <v>0</v>
      </c>
    </row>
    <row r="14" spans="1:6" x14ac:dyDescent="0.2">
      <c r="A14" s="50">
        <v>521212</v>
      </c>
      <c r="B14" s="95" t="s">
        <v>150</v>
      </c>
      <c r="C14" s="96">
        <v>11183949</v>
      </c>
      <c r="D14" s="96">
        <v>0</v>
      </c>
      <c r="E14" s="96">
        <v>0</v>
      </c>
      <c r="F14" s="97">
        <f t="shared" si="0"/>
        <v>11183949</v>
      </c>
    </row>
    <row r="15" spans="1:6" x14ac:dyDescent="0.2">
      <c r="A15" s="50">
        <v>521301</v>
      </c>
      <c r="B15" s="95" t="s">
        <v>178</v>
      </c>
      <c r="C15" s="96">
        <v>0</v>
      </c>
      <c r="D15" s="96">
        <v>0</v>
      </c>
      <c r="E15" s="96">
        <v>25125000</v>
      </c>
      <c r="F15" s="97">
        <f t="shared" si="0"/>
        <v>25125000</v>
      </c>
    </row>
    <row r="16" spans="1:6" x14ac:dyDescent="0.2">
      <c r="A16" s="50">
        <v>523202</v>
      </c>
      <c r="B16" s="95" t="s">
        <v>151</v>
      </c>
      <c r="C16" s="96">
        <v>1831100</v>
      </c>
      <c r="D16" s="96">
        <v>0</v>
      </c>
      <c r="E16" s="96">
        <v>0</v>
      </c>
      <c r="F16" s="97">
        <f t="shared" si="0"/>
        <v>1831100</v>
      </c>
    </row>
    <row r="17" spans="1:9" x14ac:dyDescent="0.2">
      <c r="A17" s="50">
        <v>523501</v>
      </c>
      <c r="B17" s="95" t="s">
        <v>119</v>
      </c>
      <c r="C17" s="96">
        <v>47500</v>
      </c>
      <c r="D17" s="96">
        <v>0</v>
      </c>
      <c r="E17" s="96">
        <v>0</v>
      </c>
      <c r="F17" s="97">
        <f t="shared" si="0"/>
        <v>47500</v>
      </c>
    </row>
    <row r="18" spans="1:9" x14ac:dyDescent="0.2">
      <c r="A18" s="50">
        <v>523601</v>
      </c>
      <c r="B18" s="95" t="s">
        <v>120</v>
      </c>
      <c r="C18" s="96">
        <v>5150</v>
      </c>
      <c r="D18" s="96">
        <v>0</v>
      </c>
      <c r="E18" s="96">
        <v>0</v>
      </c>
      <c r="F18" s="97">
        <f t="shared" si="0"/>
        <v>5150</v>
      </c>
    </row>
    <row r="19" spans="1:9" x14ac:dyDescent="0.2">
      <c r="A19" s="50">
        <v>523701</v>
      </c>
      <c r="B19" s="95" t="s">
        <v>121</v>
      </c>
      <c r="C19" s="96">
        <v>86000</v>
      </c>
      <c r="D19" s="96">
        <v>0</v>
      </c>
      <c r="E19" s="96">
        <v>0</v>
      </c>
      <c r="F19" s="97">
        <f t="shared" si="0"/>
        <v>86000</v>
      </c>
    </row>
    <row r="20" spans="1:9" x14ac:dyDescent="0.2">
      <c r="A20" s="50">
        <v>523851</v>
      </c>
      <c r="B20" s="95" t="s">
        <v>140</v>
      </c>
      <c r="C20" s="96">
        <v>90000</v>
      </c>
      <c r="D20" s="96">
        <v>0</v>
      </c>
      <c r="E20" s="96">
        <v>0</v>
      </c>
      <c r="F20" s="97">
        <f t="shared" si="0"/>
        <v>90000</v>
      </c>
    </row>
    <row r="21" spans="1:9" x14ac:dyDescent="0.2">
      <c r="A21" s="50">
        <v>531101</v>
      </c>
      <c r="B21" s="95" t="s">
        <v>122</v>
      </c>
      <c r="C21" s="96">
        <v>34200</v>
      </c>
      <c r="D21" s="96">
        <v>0</v>
      </c>
      <c r="E21" s="96">
        <v>0</v>
      </c>
      <c r="F21" s="97">
        <f t="shared" si="0"/>
        <v>34200</v>
      </c>
    </row>
    <row r="22" spans="1:9" x14ac:dyDescent="0.2">
      <c r="A22" s="50">
        <v>531102</v>
      </c>
      <c r="B22" s="95" t="s">
        <v>152</v>
      </c>
      <c r="C22" s="96">
        <v>64000</v>
      </c>
      <c r="D22" s="96">
        <v>0</v>
      </c>
      <c r="E22" s="96">
        <v>0</v>
      </c>
      <c r="F22" s="97">
        <f t="shared" si="0"/>
        <v>64000</v>
      </c>
    </row>
    <row r="23" spans="1:9" x14ac:dyDescent="0.2">
      <c r="A23" s="50">
        <v>531106</v>
      </c>
      <c r="B23" s="95" t="s">
        <v>179</v>
      </c>
      <c r="C23" s="96">
        <v>0</v>
      </c>
      <c r="D23" s="96">
        <v>1888500</v>
      </c>
      <c r="E23" s="96">
        <v>0</v>
      </c>
      <c r="F23" s="97">
        <f t="shared" si="0"/>
        <v>1888500</v>
      </c>
    </row>
    <row r="24" spans="1:9" x14ac:dyDescent="0.2">
      <c r="A24" s="50">
        <v>531641</v>
      </c>
      <c r="B24" s="95" t="s">
        <v>180</v>
      </c>
      <c r="C24" s="96">
        <v>0</v>
      </c>
      <c r="D24" s="96">
        <v>10846500</v>
      </c>
      <c r="E24" s="96">
        <v>8550000</v>
      </c>
      <c r="F24" s="97">
        <f t="shared" si="0"/>
        <v>19396500</v>
      </c>
    </row>
    <row r="25" spans="1:9" x14ac:dyDescent="0.2">
      <c r="A25" s="50">
        <v>531651</v>
      </c>
      <c r="B25" s="95" t="s">
        <v>153</v>
      </c>
      <c r="C25" s="96">
        <v>11984813</v>
      </c>
      <c r="D25" s="96">
        <v>450000</v>
      </c>
      <c r="E25" s="96">
        <v>28245000</v>
      </c>
      <c r="F25" s="97">
        <f t="shared" si="0"/>
        <v>40679813</v>
      </c>
    </row>
    <row r="26" spans="1:9" x14ac:dyDescent="0.2">
      <c r="A26" s="50">
        <v>541401</v>
      </c>
      <c r="B26" s="95" t="s">
        <v>181</v>
      </c>
      <c r="C26" s="96">
        <v>0</v>
      </c>
      <c r="D26" s="96">
        <v>4800000</v>
      </c>
      <c r="E26" s="96">
        <v>300000</v>
      </c>
      <c r="F26" s="97">
        <f t="shared" si="0"/>
        <v>5100000</v>
      </c>
    </row>
    <row r="27" spans="1:9" ht="15" thickBot="1" x14ac:dyDescent="0.25">
      <c r="A27" s="50">
        <v>541403</v>
      </c>
      <c r="B27" s="68" t="s">
        <v>182</v>
      </c>
      <c r="C27" s="96">
        <v>0</v>
      </c>
      <c r="D27" s="96">
        <v>0</v>
      </c>
      <c r="E27" s="96">
        <v>175000</v>
      </c>
      <c r="F27" s="72">
        <f t="shared" si="0"/>
        <v>175000</v>
      </c>
    </row>
    <row r="28" spans="1:9" ht="15" thickBot="1" x14ac:dyDescent="0.25">
      <c r="A28" s="50"/>
      <c r="B28" s="76" t="s">
        <v>173</v>
      </c>
      <c r="C28" s="77">
        <f>SUM(C10:C27)</f>
        <v>36527698.686333999</v>
      </c>
      <c r="D28" s="77">
        <f t="shared" ref="D28:F28" si="1">SUM(D10:D27)</f>
        <v>17985000</v>
      </c>
      <c r="E28" s="77">
        <f t="shared" si="1"/>
        <v>62395000</v>
      </c>
      <c r="F28" s="78">
        <f t="shared" si="1"/>
        <v>116907698.686334</v>
      </c>
      <c r="I28" s="62"/>
    </row>
    <row r="29" spans="1:9" ht="15" thickBot="1" x14ac:dyDescent="0.25">
      <c r="A29" s="50"/>
      <c r="B29" s="91" t="s">
        <v>174</v>
      </c>
      <c r="C29" s="80">
        <v>34151308.911952004</v>
      </c>
      <c r="D29" s="80">
        <v>19033000</v>
      </c>
      <c r="E29" s="80">
        <v>51192234</v>
      </c>
      <c r="F29" s="81">
        <f>SUM(C29:E29)</f>
        <v>104376542.911952</v>
      </c>
    </row>
    <row r="30" spans="1:9" ht="15.75" thickTop="1" thickBot="1" x14ac:dyDescent="0.25">
      <c r="A30" s="50"/>
      <c r="B30" s="82" t="s">
        <v>175</v>
      </c>
      <c r="C30" s="83">
        <f>C28-C29</f>
        <v>2376389.7743819952</v>
      </c>
      <c r="D30" s="83">
        <f t="shared" ref="D30:F30" si="2">D28-D29</f>
        <v>-1048000</v>
      </c>
      <c r="E30" s="83">
        <f t="shared" si="2"/>
        <v>11202766</v>
      </c>
      <c r="F30" s="84">
        <f t="shared" si="2"/>
        <v>12531155.774381995</v>
      </c>
    </row>
    <row r="31" spans="1:9" x14ac:dyDescent="0.2">
      <c r="E31" s="61"/>
      <c r="F31" s="62"/>
    </row>
    <row r="33" spans="5:5" x14ac:dyDescent="0.2">
      <c r="E33" s="62"/>
    </row>
  </sheetData>
  <mergeCells count="4">
    <mergeCell ref="B2:F4"/>
    <mergeCell ref="B5:F5"/>
    <mergeCell ref="B6:F6"/>
    <mergeCell ref="B7:F8"/>
  </mergeCells>
  <conditionalFormatting sqref="C28:C29">
    <cfRule type="cellIs" dxfId="7" priority="1" operator="lessThan">
      <formula>0</formula>
    </cfRule>
  </conditionalFormatting>
  <conditionalFormatting sqref="C10:E10 C30:F30">
    <cfRule type="cellIs" dxfId="6" priority="2" operator="lessThan">
      <formula>0</formula>
    </cfRule>
  </conditionalFormatting>
  <pageMargins left="0.75" right="0.75" top="1" bottom="1" header="0.5" footer="0.5"/>
  <pageSetup scale="95" orientation="portrait" r:id="rId1"/>
  <drawing r:id="rId2"/>
  <legacyDrawing r:id="rId3"/>
  <controls>
    <mc:AlternateContent xmlns:mc="http://schemas.openxmlformats.org/markup-compatibility/2006">
      <mc:Choice Requires="x14">
        <control shapeId="29699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1</xdr:col>
                <xdr:colOff>2257425</xdr:colOff>
                <xdr:row>1</xdr:row>
                <xdr:rowOff>66675</xdr:rowOff>
              </to>
            </anchor>
          </controlPr>
        </control>
      </mc:Choice>
      <mc:Fallback>
        <control shapeId="29699" r:id="rId4" name="Control 3"/>
      </mc:Fallback>
    </mc:AlternateContent>
    <mc:AlternateContent xmlns:mc="http://schemas.openxmlformats.org/markup-compatibility/2006">
      <mc:Choice Requires="x14">
        <control shapeId="29698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1628775</xdr:colOff>
                <xdr:row>1</xdr:row>
                <xdr:rowOff>66675</xdr:rowOff>
              </to>
            </anchor>
          </controlPr>
        </control>
      </mc:Choice>
      <mc:Fallback>
        <control shapeId="29698" r:id="rId6" name="Control 2"/>
      </mc:Fallback>
    </mc:AlternateContent>
    <mc:AlternateContent xmlns:mc="http://schemas.openxmlformats.org/markup-compatibility/2006">
      <mc:Choice Requires="x14">
        <control shapeId="29697" r:id="rId8" name="Control 1">
          <controlPr defaultSize="0" r:id="rId9">
            <anchor moveWithCells="1">
              <from>
                <xdr:col>1</xdr:col>
                <xdr:colOff>542925</xdr:colOff>
                <xdr:row>0</xdr:row>
                <xdr:rowOff>0</xdr:rowOff>
              </from>
              <to>
                <xdr:col>1</xdr:col>
                <xdr:colOff>1552575</xdr:colOff>
                <xdr:row>1</xdr:row>
                <xdr:rowOff>66675</xdr:rowOff>
              </to>
            </anchor>
          </controlPr>
        </control>
      </mc:Choice>
      <mc:Fallback>
        <control shapeId="29697" r:id="rId8" name="Control 1"/>
      </mc:Fallback>
    </mc:AlternateContent>
  </controls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5352E-54E7-45C6-8BDB-F01DF77906DB}">
  <sheetPr codeName="Sheet10"/>
  <dimension ref="A2:F21"/>
  <sheetViews>
    <sheetView showGridLines="0" zoomScale="110" zoomScaleNormal="110" workbookViewId="0">
      <selection activeCell="I18" sqref="I18"/>
    </sheetView>
  </sheetViews>
  <sheetFormatPr defaultColWidth="9.140625" defaultRowHeight="14.25" x14ac:dyDescent="0.2"/>
  <cols>
    <col min="1" max="1" width="8.140625" style="49" bestFit="1" customWidth="1"/>
    <col min="2" max="2" width="31.5703125" style="49" customWidth="1"/>
    <col min="3" max="6" width="12.140625" style="49" customWidth="1"/>
    <col min="7" max="8" width="9.140625" style="49"/>
    <col min="9" max="9" width="11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x14ac:dyDescent="0.2">
      <c r="B7" s="220"/>
      <c r="C7" s="220"/>
      <c r="D7" s="220"/>
      <c r="E7" s="220"/>
      <c r="F7" s="220"/>
    </row>
    <row r="8" spans="1:6" ht="15" thickBot="1" x14ac:dyDescent="0.25">
      <c r="B8" s="220"/>
      <c r="C8" s="220"/>
      <c r="D8" s="220"/>
      <c r="E8" s="220"/>
      <c r="F8" s="220"/>
    </row>
    <row r="9" spans="1:6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6" x14ac:dyDescent="0.2">
      <c r="A10" s="50">
        <v>511101</v>
      </c>
      <c r="B10" s="94" t="s">
        <v>114</v>
      </c>
      <c r="C10" s="88">
        <v>2290776.9487999999</v>
      </c>
      <c r="D10" s="88">
        <v>0</v>
      </c>
      <c r="E10" s="88">
        <v>0</v>
      </c>
      <c r="F10" s="90">
        <f t="shared" ref="F10:F18" si="0">SUM(C10:E10)</f>
        <v>2290776.9487999999</v>
      </c>
    </row>
    <row r="11" spans="1:6" x14ac:dyDescent="0.2">
      <c r="A11" s="50">
        <v>512401</v>
      </c>
      <c r="B11" s="95" t="s">
        <v>115</v>
      </c>
      <c r="C11" s="96">
        <v>309271.089935</v>
      </c>
      <c r="D11" s="96">
        <v>0</v>
      </c>
      <c r="E11" s="96">
        <v>0</v>
      </c>
      <c r="F11" s="97">
        <f t="shared" si="0"/>
        <v>309271.089935</v>
      </c>
    </row>
    <row r="12" spans="1:6" x14ac:dyDescent="0.2">
      <c r="A12" s="50">
        <v>521101</v>
      </c>
      <c r="B12" s="95" t="s">
        <v>116</v>
      </c>
      <c r="C12" s="96">
        <v>3775</v>
      </c>
      <c r="D12" s="96">
        <v>0</v>
      </c>
      <c r="E12" s="96">
        <v>0</v>
      </c>
      <c r="F12" s="97">
        <f t="shared" si="0"/>
        <v>3775</v>
      </c>
    </row>
    <row r="13" spans="1:6" x14ac:dyDescent="0.2">
      <c r="A13" s="50">
        <v>521201</v>
      </c>
      <c r="B13" s="95" t="s">
        <v>117</v>
      </c>
      <c r="C13" s="96">
        <v>150000</v>
      </c>
      <c r="D13" s="96">
        <v>0</v>
      </c>
      <c r="E13" s="96">
        <v>0</v>
      </c>
      <c r="F13" s="97">
        <f t="shared" si="0"/>
        <v>150000</v>
      </c>
    </row>
    <row r="14" spans="1:6" x14ac:dyDescent="0.2">
      <c r="A14" s="50">
        <v>523501</v>
      </c>
      <c r="B14" s="95" t="s">
        <v>119</v>
      </c>
      <c r="C14" s="96">
        <v>63200</v>
      </c>
      <c r="D14" s="96">
        <v>0</v>
      </c>
      <c r="E14" s="96">
        <v>0</v>
      </c>
      <c r="F14" s="97">
        <f t="shared" si="0"/>
        <v>63200</v>
      </c>
    </row>
    <row r="15" spans="1:6" x14ac:dyDescent="0.2">
      <c r="A15" s="50">
        <v>523601</v>
      </c>
      <c r="B15" s="95" t="s">
        <v>120</v>
      </c>
      <c r="C15" s="96">
        <v>17200</v>
      </c>
      <c r="D15" s="96">
        <v>0</v>
      </c>
      <c r="E15" s="96">
        <v>0</v>
      </c>
      <c r="F15" s="97">
        <f t="shared" si="0"/>
        <v>17200</v>
      </c>
    </row>
    <row r="16" spans="1:6" x14ac:dyDescent="0.2">
      <c r="A16" s="50">
        <v>523701</v>
      </c>
      <c r="B16" s="95" t="s">
        <v>121</v>
      </c>
      <c r="C16" s="96">
        <v>16800</v>
      </c>
      <c r="D16" s="96">
        <v>0</v>
      </c>
      <c r="E16" s="96">
        <v>0</v>
      </c>
      <c r="F16" s="97">
        <f t="shared" si="0"/>
        <v>16800</v>
      </c>
    </row>
    <row r="17" spans="1:6" x14ac:dyDescent="0.2">
      <c r="A17" s="50">
        <v>531101</v>
      </c>
      <c r="B17" s="95" t="s">
        <v>122</v>
      </c>
      <c r="C17" s="96">
        <v>30250</v>
      </c>
      <c r="D17" s="96">
        <v>0</v>
      </c>
      <c r="E17" s="96">
        <v>0</v>
      </c>
      <c r="F17" s="97">
        <f t="shared" si="0"/>
        <v>30250</v>
      </c>
    </row>
    <row r="18" spans="1:6" ht="15" thickBot="1" x14ac:dyDescent="0.25">
      <c r="A18" s="50">
        <v>531105</v>
      </c>
      <c r="B18" s="68" t="s">
        <v>123</v>
      </c>
      <c r="C18" s="96">
        <v>215</v>
      </c>
      <c r="D18" s="96">
        <v>0</v>
      </c>
      <c r="E18" s="96">
        <v>0</v>
      </c>
      <c r="F18" s="72">
        <f t="shared" si="0"/>
        <v>215</v>
      </c>
    </row>
    <row r="19" spans="1:6" ht="15" thickBot="1" x14ac:dyDescent="0.25">
      <c r="A19" s="50"/>
      <c r="B19" s="76" t="s">
        <v>173</v>
      </c>
      <c r="C19" s="77">
        <f t="shared" ref="C19:F19" si="1">SUM(C10:C18)</f>
        <v>2881488.038735</v>
      </c>
      <c r="D19" s="77">
        <f t="shared" si="1"/>
        <v>0</v>
      </c>
      <c r="E19" s="77">
        <f t="shared" si="1"/>
        <v>0</v>
      </c>
      <c r="F19" s="78">
        <f t="shared" si="1"/>
        <v>2881488.038735</v>
      </c>
    </row>
    <row r="20" spans="1:6" ht="15" thickBot="1" x14ac:dyDescent="0.25">
      <c r="A20" s="50"/>
      <c r="B20" s="91" t="s">
        <v>174</v>
      </c>
      <c r="C20" s="80">
        <v>2554507.5390050001</v>
      </c>
      <c r="D20" s="80">
        <v>0</v>
      </c>
      <c r="E20" s="80">
        <v>0</v>
      </c>
      <c r="F20" s="81">
        <f>SUM(C20:E20)</f>
        <v>2554507.5390050001</v>
      </c>
    </row>
    <row r="21" spans="1:6" ht="15.75" thickTop="1" thickBot="1" x14ac:dyDescent="0.25">
      <c r="A21" s="50"/>
      <c r="B21" s="82" t="s">
        <v>175</v>
      </c>
      <c r="C21" s="83">
        <f>C19-C20</f>
        <v>326980.49972999981</v>
      </c>
      <c r="D21" s="83">
        <f t="shared" ref="D21:F21" si="2">D19-D20</f>
        <v>0</v>
      </c>
      <c r="E21" s="83">
        <f t="shared" si="2"/>
        <v>0</v>
      </c>
      <c r="F21" s="84">
        <f t="shared" si="2"/>
        <v>326980.49972999981</v>
      </c>
    </row>
  </sheetData>
  <mergeCells count="4">
    <mergeCell ref="B2:F4"/>
    <mergeCell ref="B5:F5"/>
    <mergeCell ref="B6:F6"/>
    <mergeCell ref="B7:F8"/>
  </mergeCells>
  <conditionalFormatting sqref="C10:E10 C19:C20 C21:F21">
    <cfRule type="cellIs" dxfId="5" priority="1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0723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2</xdr:col>
                <xdr:colOff>152400</xdr:colOff>
                <xdr:row>1</xdr:row>
                <xdr:rowOff>66675</xdr:rowOff>
              </to>
            </anchor>
          </controlPr>
        </control>
      </mc:Choice>
      <mc:Fallback>
        <control shapeId="30723" r:id="rId4" name="Control 3"/>
      </mc:Fallback>
    </mc:AlternateContent>
    <mc:AlternateContent xmlns:mc="http://schemas.openxmlformats.org/markup-compatibility/2006">
      <mc:Choice Requires="x14">
        <control shapeId="30722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1628775</xdr:colOff>
                <xdr:row>1</xdr:row>
                <xdr:rowOff>66675</xdr:rowOff>
              </to>
            </anchor>
          </controlPr>
        </control>
      </mc:Choice>
      <mc:Fallback>
        <control shapeId="30722" r:id="rId6" name="Control 2"/>
      </mc:Fallback>
    </mc:AlternateContent>
    <mc:AlternateContent xmlns:mc="http://schemas.openxmlformats.org/markup-compatibility/2006">
      <mc:Choice Requires="x14">
        <control shapeId="30721" r:id="rId8" name="Control 1">
          <controlPr defaultSize="0" r:id="rId9">
            <anchor moveWithCells="1">
              <from>
                <xdr:col>1</xdr:col>
                <xdr:colOff>542925</xdr:colOff>
                <xdr:row>0</xdr:row>
                <xdr:rowOff>0</xdr:rowOff>
              </from>
              <to>
                <xdr:col>1</xdr:col>
                <xdr:colOff>1552575</xdr:colOff>
                <xdr:row>1</xdr:row>
                <xdr:rowOff>66675</xdr:rowOff>
              </to>
            </anchor>
          </controlPr>
        </control>
      </mc:Choice>
      <mc:Fallback>
        <control shapeId="30721" r:id="rId8" name="Control 1"/>
      </mc:Fallback>
    </mc:AlternateContent>
  </controls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D712F-08FF-40C3-960B-F19E3232C3E4}">
  <sheetPr codeName="Sheet11">
    <tabColor rgb="FF00B0F0"/>
  </sheetPr>
  <dimension ref="A2:K40"/>
  <sheetViews>
    <sheetView showGridLines="0" topLeftCell="A4" zoomScaleNormal="10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5.5703125" style="49" bestFit="1" customWidth="1"/>
    <col min="3" max="3" width="11.140625" style="49" bestFit="1" customWidth="1"/>
    <col min="4" max="4" width="12.140625" style="49" customWidth="1"/>
    <col min="5" max="5" width="12" style="49" customWidth="1"/>
    <col min="6" max="6" width="12.42578125" style="49" customWidth="1"/>
    <col min="7" max="7" width="9.140625" style="49"/>
    <col min="8" max="8" width="10.140625" style="49" bestFit="1" customWidth="1"/>
    <col min="9" max="10" width="9.140625" style="49"/>
    <col min="11" max="11" width="14.42578125" style="109" bestFit="1" customWidth="1"/>
    <col min="12" max="12" width="14.42578125" style="49" bestFit="1" customWidth="1"/>
    <col min="13" max="16384" width="9.140625" style="49"/>
  </cols>
  <sheetData>
    <row r="2" spans="1:11" x14ac:dyDescent="0.2">
      <c r="B2" s="218"/>
      <c r="C2" s="218"/>
      <c r="D2" s="218"/>
      <c r="E2" s="218"/>
      <c r="F2" s="218"/>
    </row>
    <row r="3" spans="1:11" x14ac:dyDescent="0.2">
      <c r="B3" s="218"/>
      <c r="C3" s="218"/>
      <c r="D3" s="218"/>
      <c r="E3" s="218"/>
      <c r="F3" s="218"/>
    </row>
    <row r="4" spans="1:11" x14ac:dyDescent="0.2">
      <c r="B4" s="218"/>
      <c r="C4" s="218"/>
      <c r="D4" s="218"/>
      <c r="E4" s="218"/>
      <c r="F4" s="218"/>
    </row>
    <row r="5" spans="1:11" x14ac:dyDescent="0.2">
      <c r="B5" s="219"/>
      <c r="C5" s="219"/>
      <c r="D5" s="219"/>
      <c r="E5" s="219"/>
      <c r="F5" s="219"/>
    </row>
    <row r="6" spans="1:11" x14ac:dyDescent="0.2">
      <c r="B6" s="219"/>
      <c r="C6" s="219"/>
      <c r="D6" s="219"/>
      <c r="E6" s="219"/>
      <c r="F6" s="219"/>
    </row>
    <row r="7" spans="1:11" ht="15" thickBot="1" x14ac:dyDescent="0.25">
      <c r="B7" s="220"/>
      <c r="C7" s="220"/>
      <c r="D7" s="220"/>
      <c r="E7" s="220"/>
      <c r="F7" s="220"/>
    </row>
    <row r="8" spans="1:11" x14ac:dyDescent="0.2">
      <c r="A8" s="50"/>
      <c r="B8" s="51"/>
      <c r="C8" s="221" t="s">
        <v>169</v>
      </c>
      <c r="D8" s="221" t="s">
        <v>170</v>
      </c>
      <c r="E8" s="221" t="s">
        <v>171</v>
      </c>
      <c r="F8" s="53" t="s">
        <v>127</v>
      </c>
      <c r="K8" s="49"/>
    </row>
    <row r="9" spans="1:11" ht="15.75" customHeight="1" thickBot="1" x14ac:dyDescent="0.25">
      <c r="A9" s="50"/>
      <c r="B9" s="54" t="s">
        <v>12</v>
      </c>
      <c r="C9" s="222"/>
      <c r="D9" s="222"/>
      <c r="E9" s="222"/>
      <c r="F9" s="56" t="s">
        <v>113</v>
      </c>
      <c r="K9" s="49"/>
    </row>
    <row r="10" spans="1:11" x14ac:dyDescent="0.2">
      <c r="A10" s="50">
        <v>511101</v>
      </c>
      <c r="B10" s="87" t="s">
        <v>114</v>
      </c>
      <c r="C10" s="88">
        <v>11152915.764800001</v>
      </c>
      <c r="D10" s="88">
        <v>0</v>
      </c>
      <c r="E10" s="88">
        <v>0</v>
      </c>
      <c r="F10" s="90">
        <f t="shared" ref="F10:F37" si="0">SUM(C10:E10)</f>
        <v>11152915.764800001</v>
      </c>
      <c r="K10" s="49"/>
    </row>
    <row r="11" spans="1:11" x14ac:dyDescent="0.2">
      <c r="A11" s="50">
        <v>511301</v>
      </c>
      <c r="B11" s="68" t="s">
        <v>136</v>
      </c>
      <c r="C11" s="96">
        <v>309305.84000000003</v>
      </c>
      <c r="D11" s="96">
        <v>0</v>
      </c>
      <c r="E11" s="96">
        <v>0</v>
      </c>
      <c r="F11" s="72">
        <f t="shared" si="0"/>
        <v>309305.84000000003</v>
      </c>
      <c r="K11" s="49"/>
    </row>
    <row r="12" spans="1:11" x14ac:dyDescent="0.2">
      <c r="A12" s="50">
        <v>512401</v>
      </c>
      <c r="B12" s="68" t="s">
        <v>115</v>
      </c>
      <c r="C12" s="96">
        <v>1603939.1506610001</v>
      </c>
      <c r="D12" s="96">
        <v>0</v>
      </c>
      <c r="E12" s="96">
        <v>0</v>
      </c>
      <c r="F12" s="72">
        <f t="shared" si="0"/>
        <v>1603939.1506610001</v>
      </c>
      <c r="K12" s="49"/>
    </row>
    <row r="13" spans="1:11" x14ac:dyDescent="0.2">
      <c r="A13" s="50">
        <v>521101</v>
      </c>
      <c r="B13" s="68" t="s">
        <v>116</v>
      </c>
      <c r="C13" s="96">
        <v>14000</v>
      </c>
      <c r="D13" s="96">
        <v>0</v>
      </c>
      <c r="E13" s="96">
        <v>0</v>
      </c>
      <c r="F13" s="72">
        <f t="shared" si="0"/>
        <v>14000</v>
      </c>
      <c r="K13" s="49"/>
    </row>
    <row r="14" spans="1:11" x14ac:dyDescent="0.2">
      <c r="A14" s="50">
        <v>521201</v>
      </c>
      <c r="B14" s="68" t="s">
        <v>117</v>
      </c>
      <c r="C14" s="96">
        <v>98000</v>
      </c>
      <c r="D14" s="96">
        <v>0</v>
      </c>
      <c r="E14" s="96">
        <v>0</v>
      </c>
      <c r="F14" s="72">
        <f t="shared" si="0"/>
        <v>98000</v>
      </c>
      <c r="K14" s="49"/>
    </row>
    <row r="15" spans="1:11" x14ac:dyDescent="0.2">
      <c r="A15" s="50">
        <v>521212</v>
      </c>
      <c r="B15" s="68" t="s">
        <v>150</v>
      </c>
      <c r="C15" s="96">
        <v>35137844</v>
      </c>
      <c r="D15" s="96">
        <v>0</v>
      </c>
      <c r="E15" s="96">
        <v>0</v>
      </c>
      <c r="F15" s="72">
        <f t="shared" si="0"/>
        <v>35137844</v>
      </c>
      <c r="K15" s="49"/>
    </row>
    <row r="16" spans="1:11" x14ac:dyDescent="0.2">
      <c r="A16" s="50">
        <v>522202</v>
      </c>
      <c r="B16" s="68" t="s">
        <v>154</v>
      </c>
      <c r="C16" s="96">
        <v>66425</v>
      </c>
      <c r="D16" s="96">
        <v>550000</v>
      </c>
      <c r="E16" s="96">
        <v>0</v>
      </c>
      <c r="F16" s="72">
        <f t="shared" si="0"/>
        <v>616425</v>
      </c>
      <c r="K16" s="49"/>
    </row>
    <row r="17" spans="1:11" x14ac:dyDescent="0.2">
      <c r="A17" s="50">
        <v>522301</v>
      </c>
      <c r="B17" s="68" t="s">
        <v>183</v>
      </c>
      <c r="C17" s="96">
        <v>357000</v>
      </c>
      <c r="D17" s="96">
        <v>0</v>
      </c>
      <c r="E17" s="96">
        <v>0</v>
      </c>
      <c r="F17" s="72">
        <f t="shared" si="0"/>
        <v>357000</v>
      </c>
      <c r="K17" s="49"/>
    </row>
    <row r="18" spans="1:11" x14ac:dyDescent="0.2">
      <c r="A18" s="50">
        <v>522302</v>
      </c>
      <c r="B18" s="68" t="s">
        <v>145</v>
      </c>
      <c r="C18" s="96">
        <v>55350</v>
      </c>
      <c r="D18" s="96">
        <v>0</v>
      </c>
      <c r="E18" s="96">
        <v>0</v>
      </c>
      <c r="F18" s="72">
        <f t="shared" si="0"/>
        <v>55350</v>
      </c>
      <c r="K18" s="49"/>
    </row>
    <row r="19" spans="1:11" x14ac:dyDescent="0.2">
      <c r="A19" s="50">
        <v>523202</v>
      </c>
      <c r="B19" s="68" t="s">
        <v>151</v>
      </c>
      <c r="C19" s="96">
        <v>355000</v>
      </c>
      <c r="D19" s="96">
        <v>0</v>
      </c>
      <c r="E19" s="96">
        <v>0</v>
      </c>
      <c r="F19" s="72">
        <f t="shared" si="0"/>
        <v>355000</v>
      </c>
      <c r="K19" s="49"/>
    </row>
    <row r="20" spans="1:11" x14ac:dyDescent="0.2">
      <c r="A20" s="50">
        <v>523501</v>
      </c>
      <c r="B20" s="68" t="s">
        <v>119</v>
      </c>
      <c r="C20" s="96">
        <v>90150</v>
      </c>
      <c r="D20" s="96">
        <v>0</v>
      </c>
      <c r="E20" s="96">
        <v>0</v>
      </c>
      <c r="F20" s="72">
        <f t="shared" si="0"/>
        <v>90150</v>
      </c>
      <c r="K20" s="49"/>
    </row>
    <row r="21" spans="1:11" x14ac:dyDescent="0.2">
      <c r="A21" s="50">
        <v>523601</v>
      </c>
      <c r="B21" s="68" t="s">
        <v>120</v>
      </c>
      <c r="C21" s="96">
        <v>59885</v>
      </c>
      <c r="D21" s="96">
        <v>0</v>
      </c>
      <c r="E21" s="96">
        <v>0</v>
      </c>
      <c r="F21" s="72">
        <f t="shared" si="0"/>
        <v>59885</v>
      </c>
      <c r="K21" s="49"/>
    </row>
    <row r="22" spans="1:11" x14ac:dyDescent="0.2">
      <c r="A22" s="50">
        <v>523701</v>
      </c>
      <c r="B22" s="68" t="s">
        <v>121</v>
      </c>
      <c r="C22" s="96">
        <v>71060</v>
      </c>
      <c r="D22" s="96">
        <v>0</v>
      </c>
      <c r="E22" s="96">
        <v>0</v>
      </c>
      <c r="F22" s="72">
        <f t="shared" si="0"/>
        <v>71060</v>
      </c>
      <c r="K22" s="49"/>
    </row>
    <row r="23" spans="1:11" x14ac:dyDescent="0.2">
      <c r="A23" s="50">
        <v>523801</v>
      </c>
      <c r="B23" s="68" t="s">
        <v>126</v>
      </c>
      <c r="C23" s="96">
        <v>22690</v>
      </c>
      <c r="D23" s="96">
        <v>0</v>
      </c>
      <c r="E23" s="96">
        <v>0</v>
      </c>
      <c r="F23" s="72">
        <f t="shared" si="0"/>
        <v>22690</v>
      </c>
      <c r="K23" s="49"/>
    </row>
    <row r="24" spans="1:11" x14ac:dyDescent="0.2">
      <c r="A24" s="50">
        <v>523851</v>
      </c>
      <c r="B24" s="68" t="s">
        <v>140</v>
      </c>
      <c r="C24" s="96">
        <v>77000</v>
      </c>
      <c r="D24" s="96">
        <v>0</v>
      </c>
      <c r="E24" s="96">
        <v>0</v>
      </c>
      <c r="F24" s="72">
        <f t="shared" si="0"/>
        <v>77000</v>
      </c>
      <c r="K24" s="49"/>
    </row>
    <row r="25" spans="1:11" x14ac:dyDescent="0.2">
      <c r="A25" s="50">
        <v>531101</v>
      </c>
      <c r="B25" s="68" t="s">
        <v>122</v>
      </c>
      <c r="C25" s="96">
        <v>19600</v>
      </c>
      <c r="D25" s="96">
        <v>0</v>
      </c>
      <c r="E25" s="96">
        <v>0</v>
      </c>
      <c r="F25" s="72">
        <f t="shared" si="0"/>
        <v>19600</v>
      </c>
      <c r="K25" s="49"/>
    </row>
    <row r="26" spans="1:11" x14ac:dyDescent="0.2">
      <c r="A26" s="50">
        <v>531102</v>
      </c>
      <c r="B26" s="68" t="s">
        <v>152</v>
      </c>
      <c r="C26" s="96">
        <v>6905325</v>
      </c>
      <c r="D26" s="96">
        <v>0</v>
      </c>
      <c r="E26" s="96">
        <v>0</v>
      </c>
      <c r="F26" s="72">
        <f t="shared" si="0"/>
        <v>6905325</v>
      </c>
      <c r="K26" s="49"/>
    </row>
    <row r="27" spans="1:11" x14ac:dyDescent="0.2">
      <c r="A27" s="50">
        <v>531103</v>
      </c>
      <c r="B27" s="68" t="s">
        <v>155</v>
      </c>
      <c r="C27" s="96">
        <v>1479285</v>
      </c>
      <c r="D27" s="96">
        <v>0</v>
      </c>
      <c r="E27" s="96">
        <v>0</v>
      </c>
      <c r="F27" s="72">
        <f t="shared" si="0"/>
        <v>1479285</v>
      </c>
      <c r="K27" s="49"/>
    </row>
    <row r="28" spans="1:11" x14ac:dyDescent="0.2">
      <c r="A28" s="50">
        <v>531105</v>
      </c>
      <c r="B28" s="68" t="s">
        <v>123</v>
      </c>
      <c r="C28" s="96">
        <v>400</v>
      </c>
      <c r="D28" s="96">
        <v>0</v>
      </c>
      <c r="E28" s="96">
        <v>0</v>
      </c>
      <c r="F28" s="72">
        <f t="shared" si="0"/>
        <v>400</v>
      </c>
      <c r="K28" s="49"/>
    </row>
    <row r="29" spans="1:11" x14ac:dyDescent="0.2">
      <c r="A29" s="50">
        <v>531107</v>
      </c>
      <c r="B29" s="68" t="s">
        <v>156</v>
      </c>
      <c r="C29" s="96">
        <v>2210000</v>
      </c>
      <c r="D29" s="96">
        <v>0</v>
      </c>
      <c r="E29" s="96">
        <v>0</v>
      </c>
      <c r="F29" s="72">
        <f t="shared" si="0"/>
        <v>2210000</v>
      </c>
      <c r="K29" s="49"/>
    </row>
    <row r="30" spans="1:11" x14ac:dyDescent="0.2">
      <c r="A30" s="50">
        <v>531211</v>
      </c>
      <c r="B30" s="68" t="s">
        <v>157</v>
      </c>
      <c r="C30" s="96">
        <v>950000</v>
      </c>
      <c r="D30" s="96">
        <v>0</v>
      </c>
      <c r="E30" s="96">
        <v>0</v>
      </c>
      <c r="F30" s="72">
        <f t="shared" si="0"/>
        <v>950000</v>
      </c>
      <c r="K30" s="49"/>
    </row>
    <row r="31" spans="1:11" x14ac:dyDescent="0.2">
      <c r="A31" s="50">
        <v>531221</v>
      </c>
      <c r="B31" s="68" t="s">
        <v>158</v>
      </c>
      <c r="C31" s="96">
        <v>61127</v>
      </c>
      <c r="D31" s="96">
        <v>0</v>
      </c>
      <c r="E31" s="96">
        <v>0</v>
      </c>
      <c r="F31" s="72">
        <f t="shared" si="0"/>
        <v>61127</v>
      </c>
      <c r="K31" s="49"/>
    </row>
    <row r="32" spans="1:11" x14ac:dyDescent="0.2">
      <c r="A32" s="50">
        <v>531231</v>
      </c>
      <c r="B32" s="68" t="s">
        <v>159</v>
      </c>
      <c r="C32" s="96">
        <v>2900000</v>
      </c>
      <c r="D32" s="96">
        <v>0</v>
      </c>
      <c r="E32" s="96">
        <v>0</v>
      </c>
      <c r="F32" s="72">
        <f t="shared" si="0"/>
        <v>2900000</v>
      </c>
      <c r="K32" s="49"/>
    </row>
    <row r="33" spans="1:11" x14ac:dyDescent="0.2">
      <c r="A33" s="50">
        <v>531601</v>
      </c>
      <c r="B33" s="68" t="s">
        <v>160</v>
      </c>
      <c r="C33" s="96">
        <v>214922</v>
      </c>
      <c r="D33" s="96">
        <v>0</v>
      </c>
      <c r="E33" s="96">
        <v>0</v>
      </c>
      <c r="F33" s="72">
        <f t="shared" si="0"/>
        <v>214922</v>
      </c>
      <c r="K33" s="49"/>
    </row>
    <row r="34" spans="1:11" x14ac:dyDescent="0.2">
      <c r="A34" s="50">
        <v>531611</v>
      </c>
      <c r="B34" s="68" t="s">
        <v>184</v>
      </c>
      <c r="C34" s="96">
        <v>0</v>
      </c>
      <c r="D34" s="96">
        <v>1684700</v>
      </c>
      <c r="E34" s="96">
        <v>0</v>
      </c>
      <c r="F34" s="72">
        <f t="shared" si="0"/>
        <v>1684700</v>
      </c>
      <c r="K34" s="49"/>
    </row>
    <row r="35" spans="1:11" x14ac:dyDescent="0.2">
      <c r="A35" s="50">
        <v>531621</v>
      </c>
      <c r="B35" s="68" t="s">
        <v>185</v>
      </c>
      <c r="C35" s="96">
        <v>0</v>
      </c>
      <c r="D35" s="96">
        <v>5467700</v>
      </c>
      <c r="E35" s="96">
        <v>0</v>
      </c>
      <c r="F35" s="72">
        <f t="shared" si="0"/>
        <v>5467700</v>
      </c>
      <c r="K35" s="49"/>
    </row>
    <row r="36" spans="1:11" x14ac:dyDescent="0.2">
      <c r="A36" s="50">
        <v>531701</v>
      </c>
      <c r="B36" s="68" t="s">
        <v>148</v>
      </c>
      <c r="C36" s="96">
        <v>233800</v>
      </c>
      <c r="D36" s="96">
        <v>0</v>
      </c>
      <c r="E36" s="96">
        <v>0</v>
      </c>
      <c r="F36" s="72">
        <f t="shared" si="0"/>
        <v>233800</v>
      </c>
      <c r="K36" s="49"/>
    </row>
    <row r="37" spans="1:11" ht="15" thickBot="1" x14ac:dyDescent="0.25">
      <c r="A37" s="50">
        <v>541302</v>
      </c>
      <c r="B37" s="68" t="s">
        <v>186</v>
      </c>
      <c r="C37" s="96">
        <v>0</v>
      </c>
      <c r="D37" s="96">
        <v>4778554</v>
      </c>
      <c r="E37" s="96">
        <v>6667590</v>
      </c>
      <c r="F37" s="72">
        <f t="shared" si="0"/>
        <v>11446144</v>
      </c>
      <c r="K37" s="49"/>
    </row>
    <row r="38" spans="1:11" ht="15" thickBot="1" x14ac:dyDescent="0.25">
      <c r="A38" s="50"/>
      <c r="B38" s="76" t="s">
        <v>173</v>
      </c>
      <c r="C38" s="77">
        <f>SUM(C10:C37)</f>
        <v>64445023.755461</v>
      </c>
      <c r="D38" s="77">
        <f>SUM(D10:D37)</f>
        <v>12480954</v>
      </c>
      <c r="E38" s="77">
        <f>SUM(E10:E37)</f>
        <v>6667590</v>
      </c>
      <c r="F38" s="78">
        <f>SUM(F10:F37)</f>
        <v>83593567.755461007</v>
      </c>
      <c r="K38" s="49"/>
    </row>
    <row r="39" spans="1:11" ht="15" thickBot="1" x14ac:dyDescent="0.25">
      <c r="A39" s="50"/>
      <c r="B39" s="91" t="s">
        <v>174</v>
      </c>
      <c r="C39" s="80">
        <v>58225399.646514997</v>
      </c>
      <c r="D39" s="80">
        <v>7913955</v>
      </c>
      <c r="E39" s="80">
        <v>4407107</v>
      </c>
      <c r="F39" s="81">
        <f>SUM(C39:E39)</f>
        <v>70546461.646514997</v>
      </c>
      <c r="H39" s="62"/>
    </row>
    <row r="40" spans="1:11" ht="15.75" thickTop="1" thickBot="1" x14ac:dyDescent="0.25">
      <c r="A40" s="50"/>
      <c r="B40" s="82" t="s">
        <v>175</v>
      </c>
      <c r="C40" s="83">
        <f>C38-C39</f>
        <v>6219624.108946003</v>
      </c>
      <c r="D40" s="83">
        <f t="shared" ref="D40:F40" si="1">D38-D39</f>
        <v>4566999</v>
      </c>
      <c r="E40" s="83">
        <f t="shared" si="1"/>
        <v>2260483</v>
      </c>
      <c r="F40" s="84">
        <f t="shared" si="1"/>
        <v>13047106.10894601</v>
      </c>
    </row>
  </sheetData>
  <mergeCells count="7">
    <mergeCell ref="B2:F4"/>
    <mergeCell ref="B5:F5"/>
    <mergeCell ref="B6:F6"/>
    <mergeCell ref="B7:F7"/>
    <mergeCell ref="C8:C9"/>
    <mergeCell ref="D8:D9"/>
    <mergeCell ref="E8:E9"/>
  </mergeCells>
  <conditionalFormatting sqref="C10 C38:C39 C40:F40">
    <cfRule type="cellIs" dxfId="4" priority="1" operator="lessThan">
      <formula>0</formula>
    </cfRule>
  </conditionalFormatting>
  <pageMargins left="0.75" right="0.75" top="1" bottom="1" header="0.5" footer="0.5"/>
  <pageSetup scale="90" orientation="portrait" r:id="rId1"/>
  <drawing r:id="rId2"/>
  <legacyDrawing r:id="rId3"/>
  <controls>
    <mc:AlternateContent xmlns:mc="http://schemas.openxmlformats.org/markup-compatibility/2006">
      <mc:Choice Requires="x14">
        <control shapeId="31747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2171700</xdr:colOff>
                <xdr:row>1</xdr:row>
                <xdr:rowOff>47625</xdr:rowOff>
              </to>
            </anchor>
          </controlPr>
        </control>
      </mc:Choice>
      <mc:Fallback>
        <control shapeId="31747" r:id="rId4" name="Control 3"/>
      </mc:Fallback>
    </mc:AlternateContent>
    <mc:AlternateContent xmlns:mc="http://schemas.openxmlformats.org/markup-compatibility/2006">
      <mc:Choice Requires="x14">
        <control shapeId="31746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1543050</xdr:colOff>
                <xdr:row>1</xdr:row>
                <xdr:rowOff>47625</xdr:rowOff>
              </to>
            </anchor>
          </controlPr>
        </control>
      </mc:Choice>
      <mc:Fallback>
        <control shapeId="31746" r:id="rId6" name="Control 2"/>
      </mc:Fallback>
    </mc:AlternateContent>
    <mc:AlternateContent xmlns:mc="http://schemas.openxmlformats.org/markup-compatibility/2006">
      <mc:Choice Requires="x14">
        <control shapeId="31745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923925</xdr:colOff>
                <xdr:row>1</xdr:row>
                <xdr:rowOff>47625</xdr:rowOff>
              </to>
            </anchor>
          </controlPr>
        </control>
      </mc:Choice>
      <mc:Fallback>
        <control shapeId="31745" r:id="rId8" name="Control 1"/>
      </mc:Fallback>
    </mc:AlternateContent>
  </controls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5C0D8-9173-4769-80BE-28967DECE74C}">
  <sheetPr codeName="Sheet12"/>
  <dimension ref="A2:G33"/>
  <sheetViews>
    <sheetView showGridLines="0" topLeftCell="A4" zoomScaleNormal="10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5.5703125" style="49" bestFit="1" customWidth="1"/>
    <col min="3" max="6" width="13.5703125" style="49" customWidth="1"/>
    <col min="7" max="7" width="14.42578125" style="49" bestFit="1" customWidth="1"/>
    <col min="8" max="8" width="13.42578125" style="49" bestFit="1" customWidth="1"/>
    <col min="9" max="9" width="9.140625" style="49"/>
    <col min="10" max="10" width="15.5703125" style="49" bestFit="1" customWidth="1"/>
    <col min="11" max="16384" width="9.140625" style="49"/>
  </cols>
  <sheetData>
    <row r="2" spans="1:7" x14ac:dyDescent="0.2">
      <c r="B2" s="218"/>
      <c r="C2" s="218"/>
      <c r="D2" s="218"/>
      <c r="E2" s="218"/>
      <c r="F2" s="218"/>
    </row>
    <row r="3" spans="1:7" x14ac:dyDescent="0.2">
      <c r="B3" s="218"/>
      <c r="C3" s="218"/>
      <c r="D3" s="218"/>
      <c r="E3" s="218"/>
      <c r="F3" s="218"/>
    </row>
    <row r="4" spans="1:7" x14ac:dyDescent="0.2">
      <c r="B4" s="218"/>
      <c r="C4" s="218"/>
      <c r="D4" s="218"/>
      <c r="E4" s="218"/>
      <c r="F4" s="218"/>
    </row>
    <row r="5" spans="1:7" x14ac:dyDescent="0.2">
      <c r="B5" s="219"/>
      <c r="C5" s="219"/>
      <c r="D5" s="219"/>
      <c r="E5" s="219"/>
      <c r="F5" s="219"/>
    </row>
    <row r="6" spans="1:7" x14ac:dyDescent="0.2">
      <c r="B6" s="219"/>
      <c r="C6" s="219"/>
      <c r="D6" s="219"/>
      <c r="E6" s="219"/>
      <c r="F6" s="219"/>
    </row>
    <row r="7" spans="1:7" x14ac:dyDescent="0.2">
      <c r="B7" s="220"/>
      <c r="C7" s="220"/>
      <c r="D7" s="220"/>
      <c r="E7" s="220"/>
      <c r="F7" s="220"/>
    </row>
    <row r="8" spans="1:7" ht="15" thickBot="1" x14ac:dyDescent="0.25">
      <c r="B8" s="220"/>
      <c r="C8" s="220"/>
      <c r="D8" s="220"/>
      <c r="E8" s="220"/>
      <c r="F8" s="220"/>
    </row>
    <row r="9" spans="1:7" x14ac:dyDescent="0.2">
      <c r="A9" s="50"/>
      <c r="B9" s="51"/>
      <c r="C9" s="221" t="s">
        <v>169</v>
      </c>
      <c r="D9" s="221" t="s">
        <v>170</v>
      </c>
      <c r="E9" s="221" t="s">
        <v>171</v>
      </c>
      <c r="F9" s="53" t="s">
        <v>127</v>
      </c>
      <c r="G9" s="110"/>
    </row>
    <row r="10" spans="1:7" ht="15" thickBot="1" x14ac:dyDescent="0.25">
      <c r="A10" s="50"/>
      <c r="B10" s="54" t="s">
        <v>12</v>
      </c>
      <c r="C10" s="222"/>
      <c r="D10" s="222"/>
      <c r="E10" s="222"/>
      <c r="F10" s="56" t="s">
        <v>113</v>
      </c>
    </row>
    <row r="11" spans="1:7" x14ac:dyDescent="0.2">
      <c r="A11" s="50">
        <v>511101</v>
      </c>
      <c r="B11" s="87" t="s">
        <v>114</v>
      </c>
      <c r="C11" s="88">
        <v>2663369.2568000001</v>
      </c>
      <c r="D11" s="88">
        <v>0</v>
      </c>
      <c r="E11" s="88">
        <v>0</v>
      </c>
      <c r="F11" s="90">
        <f t="shared" ref="F11:F29" si="0">SUM(C11:E11)</f>
        <v>2663369.2568000001</v>
      </c>
    </row>
    <row r="12" spans="1:7" x14ac:dyDescent="0.2">
      <c r="A12" s="50">
        <v>512401</v>
      </c>
      <c r="B12" s="68" t="s">
        <v>115</v>
      </c>
      <c r="C12" s="96">
        <v>371372.14747799997</v>
      </c>
      <c r="D12" s="96">
        <v>0</v>
      </c>
      <c r="E12" s="96">
        <v>0</v>
      </c>
      <c r="F12" s="72">
        <f t="shared" si="0"/>
        <v>371372.14747799997</v>
      </c>
    </row>
    <row r="13" spans="1:7" x14ac:dyDescent="0.2">
      <c r="A13" s="50">
        <v>521101</v>
      </c>
      <c r="B13" s="68" t="s">
        <v>116</v>
      </c>
      <c r="C13" s="96">
        <v>500</v>
      </c>
      <c r="D13" s="96">
        <v>0</v>
      </c>
      <c r="E13" s="96">
        <v>0</v>
      </c>
      <c r="F13" s="72">
        <f t="shared" si="0"/>
        <v>500</v>
      </c>
    </row>
    <row r="14" spans="1:7" x14ac:dyDescent="0.2">
      <c r="A14" s="50">
        <v>521213</v>
      </c>
      <c r="B14" s="68" t="s">
        <v>187</v>
      </c>
      <c r="C14" s="96">
        <v>0</v>
      </c>
      <c r="D14" s="96">
        <v>3100000</v>
      </c>
      <c r="E14" s="96">
        <f>23230109+10000</f>
        <v>23240109</v>
      </c>
      <c r="F14" s="72">
        <f t="shared" si="0"/>
        <v>26340109</v>
      </c>
      <c r="G14" s="61"/>
    </row>
    <row r="15" spans="1:7" x14ac:dyDescent="0.2">
      <c r="A15" s="50">
        <v>521301</v>
      </c>
      <c r="B15" s="58" t="s">
        <v>178</v>
      </c>
      <c r="C15" s="96">
        <v>0</v>
      </c>
      <c r="D15" s="96">
        <v>3352529</v>
      </c>
      <c r="E15" s="96">
        <v>0</v>
      </c>
      <c r="F15" s="72">
        <f t="shared" si="0"/>
        <v>3352529</v>
      </c>
    </row>
    <row r="16" spans="1:7" x14ac:dyDescent="0.2">
      <c r="A16" s="50">
        <v>522203</v>
      </c>
      <c r="B16" s="58" t="s">
        <v>188</v>
      </c>
      <c r="C16" s="96">
        <v>0</v>
      </c>
      <c r="D16" s="96">
        <v>2230000</v>
      </c>
      <c r="E16" s="96">
        <v>0</v>
      </c>
      <c r="F16" s="72">
        <f t="shared" si="0"/>
        <v>2230000</v>
      </c>
    </row>
    <row r="17" spans="1:7" x14ac:dyDescent="0.2">
      <c r="A17" s="50">
        <v>522204</v>
      </c>
      <c r="B17" s="58" t="s">
        <v>189</v>
      </c>
      <c r="C17" s="96">
        <v>0</v>
      </c>
      <c r="D17" s="96">
        <v>5566000</v>
      </c>
      <c r="E17" s="96">
        <v>0</v>
      </c>
      <c r="F17" s="72">
        <f t="shared" si="0"/>
        <v>5566000</v>
      </c>
    </row>
    <row r="18" spans="1:7" x14ac:dyDescent="0.2">
      <c r="A18" s="50">
        <v>522205</v>
      </c>
      <c r="B18" s="58" t="s">
        <v>190</v>
      </c>
      <c r="C18" s="96">
        <v>0</v>
      </c>
      <c r="D18" s="96">
        <v>18038000</v>
      </c>
      <c r="E18" s="96">
        <v>0</v>
      </c>
      <c r="F18" s="72">
        <f t="shared" si="0"/>
        <v>18038000</v>
      </c>
    </row>
    <row r="19" spans="1:7" x14ac:dyDescent="0.2">
      <c r="A19" s="50">
        <v>522206</v>
      </c>
      <c r="B19" s="58" t="s">
        <v>191</v>
      </c>
      <c r="C19" s="96">
        <v>0</v>
      </c>
      <c r="D19" s="96">
        <v>5830000</v>
      </c>
      <c r="E19" s="96">
        <v>0</v>
      </c>
      <c r="F19" s="72">
        <f t="shared" si="0"/>
        <v>5830000</v>
      </c>
    </row>
    <row r="20" spans="1:7" x14ac:dyDescent="0.2">
      <c r="A20" s="50">
        <v>523501</v>
      </c>
      <c r="B20" s="58" t="s">
        <v>119</v>
      </c>
      <c r="C20" s="96">
        <v>5000</v>
      </c>
      <c r="D20" s="96">
        <v>0</v>
      </c>
      <c r="E20" s="96">
        <v>0</v>
      </c>
      <c r="F20" s="72">
        <f t="shared" si="0"/>
        <v>5000</v>
      </c>
    </row>
    <row r="21" spans="1:7" x14ac:dyDescent="0.2">
      <c r="A21" s="50">
        <v>523601</v>
      </c>
      <c r="B21" s="58" t="s">
        <v>120</v>
      </c>
      <c r="C21" s="96">
        <v>1157</v>
      </c>
      <c r="D21" s="96">
        <v>0</v>
      </c>
      <c r="E21" s="96">
        <v>0</v>
      </c>
      <c r="F21" s="72">
        <f t="shared" si="0"/>
        <v>1157</v>
      </c>
    </row>
    <row r="22" spans="1:7" x14ac:dyDescent="0.2">
      <c r="A22" s="50">
        <v>523701</v>
      </c>
      <c r="B22" s="58" t="s">
        <v>121</v>
      </c>
      <c r="C22" s="96">
        <v>10486</v>
      </c>
      <c r="D22" s="96">
        <v>0</v>
      </c>
      <c r="E22" s="96">
        <v>0</v>
      </c>
      <c r="F22" s="72">
        <f t="shared" si="0"/>
        <v>10486</v>
      </c>
    </row>
    <row r="23" spans="1:7" x14ac:dyDescent="0.2">
      <c r="A23" s="50">
        <v>523801</v>
      </c>
      <c r="B23" s="58" t="s">
        <v>126</v>
      </c>
      <c r="C23" s="96">
        <v>667</v>
      </c>
      <c r="D23" s="96">
        <v>0</v>
      </c>
      <c r="E23" s="96">
        <v>0</v>
      </c>
      <c r="F23" s="72">
        <f t="shared" si="0"/>
        <v>667</v>
      </c>
    </row>
    <row r="24" spans="1:7" x14ac:dyDescent="0.2">
      <c r="A24" s="50">
        <v>531101</v>
      </c>
      <c r="B24" s="58" t="s">
        <v>122</v>
      </c>
      <c r="C24" s="96">
        <v>2041</v>
      </c>
      <c r="D24" s="96">
        <v>0</v>
      </c>
      <c r="E24" s="96">
        <v>0</v>
      </c>
      <c r="F24" s="72">
        <f t="shared" si="0"/>
        <v>2041</v>
      </c>
    </row>
    <row r="25" spans="1:7" x14ac:dyDescent="0.2">
      <c r="A25" s="50">
        <v>531105</v>
      </c>
      <c r="B25" s="58" t="s">
        <v>123</v>
      </c>
      <c r="C25" s="96">
        <v>407</v>
      </c>
      <c r="D25" s="96">
        <v>0</v>
      </c>
      <c r="E25" s="96">
        <v>0</v>
      </c>
      <c r="F25" s="72">
        <f t="shared" si="0"/>
        <v>407</v>
      </c>
    </row>
    <row r="26" spans="1:7" x14ac:dyDescent="0.2">
      <c r="A26" s="50">
        <v>531261</v>
      </c>
      <c r="B26" s="58" t="s">
        <v>192</v>
      </c>
      <c r="C26" s="96">
        <v>0</v>
      </c>
      <c r="D26" s="96">
        <v>0</v>
      </c>
      <c r="E26" s="96">
        <v>0</v>
      </c>
      <c r="F26" s="72">
        <f t="shared" si="0"/>
        <v>0</v>
      </c>
    </row>
    <row r="27" spans="1:7" x14ac:dyDescent="0.2">
      <c r="A27" s="50">
        <v>541401</v>
      </c>
      <c r="B27" s="58" t="s">
        <v>181</v>
      </c>
      <c r="C27" s="96">
        <v>0</v>
      </c>
      <c r="D27" s="96">
        <v>16153000</v>
      </c>
      <c r="E27" s="96">
        <v>172524523</v>
      </c>
      <c r="F27" s="72">
        <f t="shared" si="0"/>
        <v>188677523</v>
      </c>
      <c r="G27" s="61"/>
    </row>
    <row r="28" spans="1:7" x14ac:dyDescent="0.2">
      <c r="A28" s="50">
        <v>541402</v>
      </c>
      <c r="B28" s="58" t="s">
        <v>193</v>
      </c>
      <c r="C28" s="96">
        <v>0</v>
      </c>
      <c r="D28" s="96">
        <v>0</v>
      </c>
      <c r="E28" s="96">
        <v>223163</v>
      </c>
      <c r="F28" s="72">
        <f t="shared" si="0"/>
        <v>223163</v>
      </c>
      <c r="G28" s="61"/>
    </row>
    <row r="29" spans="1:7" ht="15" thickBot="1" x14ac:dyDescent="0.25">
      <c r="A29" s="50">
        <v>173003</v>
      </c>
      <c r="B29" s="58" t="s">
        <v>194</v>
      </c>
      <c r="C29" s="96">
        <v>0</v>
      </c>
      <c r="D29" s="96">
        <v>0</v>
      </c>
      <c r="E29" s="96">
        <v>30000</v>
      </c>
      <c r="F29" s="72">
        <f t="shared" si="0"/>
        <v>30000</v>
      </c>
      <c r="G29" s="61"/>
    </row>
    <row r="30" spans="1:7" ht="15" thickBot="1" x14ac:dyDescent="0.25">
      <c r="A30" s="50"/>
      <c r="B30" s="76" t="s">
        <v>173</v>
      </c>
      <c r="C30" s="77">
        <f>SUM(C11:C29)</f>
        <v>3054999.4042779999</v>
      </c>
      <c r="D30" s="77">
        <f>SUM(D11:D29)</f>
        <v>54269529</v>
      </c>
      <c r="E30" s="77">
        <f>SUM(E11:E29)</f>
        <v>196017795</v>
      </c>
      <c r="F30" s="78">
        <f>SUM(F11:F29)</f>
        <v>253342323.40427798</v>
      </c>
    </row>
    <row r="31" spans="1:7" ht="15" thickBot="1" x14ac:dyDescent="0.25">
      <c r="A31" s="50"/>
      <c r="B31" s="91" t="s">
        <v>174</v>
      </c>
      <c r="C31" s="80">
        <v>2815701.3571179998</v>
      </c>
      <c r="D31" s="80">
        <v>50276916</v>
      </c>
      <c r="E31" s="80">
        <v>104251404</v>
      </c>
      <c r="F31" s="81">
        <f>SUM(C31:E31)</f>
        <v>157344021.35711801</v>
      </c>
    </row>
    <row r="32" spans="1:7" ht="15.75" thickTop="1" thickBot="1" x14ac:dyDescent="0.25">
      <c r="A32" s="50"/>
      <c r="B32" s="82" t="s">
        <v>175</v>
      </c>
      <c r="C32" s="83">
        <f>C30-C31</f>
        <v>239298.04716000007</v>
      </c>
      <c r="D32" s="83">
        <f t="shared" ref="D32:F32" si="1">D30-D31</f>
        <v>3992613</v>
      </c>
      <c r="E32" s="83">
        <f t="shared" si="1"/>
        <v>91766391</v>
      </c>
      <c r="F32" s="84">
        <f t="shared" si="1"/>
        <v>95998302.04715997</v>
      </c>
    </row>
    <row r="33" spans="3:6" x14ac:dyDescent="0.2">
      <c r="C33" s="111"/>
      <c r="D33" s="111"/>
      <c r="E33" s="111"/>
      <c r="F33" s="111"/>
    </row>
  </sheetData>
  <mergeCells count="7">
    <mergeCell ref="B2:F4"/>
    <mergeCell ref="B5:F5"/>
    <mergeCell ref="B6:F6"/>
    <mergeCell ref="B7:F8"/>
    <mergeCell ref="C9:C10"/>
    <mergeCell ref="D9:D10"/>
    <mergeCell ref="E9:E10"/>
  </mergeCells>
  <conditionalFormatting sqref="C11 C30:C31 C32:F32">
    <cfRule type="cellIs" dxfId="3" priority="1" operator="lessThan">
      <formula>0</formula>
    </cfRule>
  </conditionalFormatting>
  <pageMargins left="0.75" right="0.75" top="1" bottom="1" header="0.5" footer="0.5"/>
  <pageSetup scale="87" orientation="portrait" r:id="rId1"/>
  <drawing r:id="rId2"/>
  <legacyDrawing r:id="rId3"/>
  <controls>
    <mc:AlternateContent xmlns:mc="http://schemas.openxmlformats.org/markup-compatibility/2006">
      <mc:Choice Requires="x14">
        <control shapeId="32771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2171700</xdr:colOff>
                <xdr:row>1</xdr:row>
                <xdr:rowOff>47625</xdr:rowOff>
              </to>
            </anchor>
          </controlPr>
        </control>
      </mc:Choice>
      <mc:Fallback>
        <control shapeId="32771" r:id="rId4" name="Control 3"/>
      </mc:Fallback>
    </mc:AlternateContent>
    <mc:AlternateContent xmlns:mc="http://schemas.openxmlformats.org/markup-compatibility/2006">
      <mc:Choice Requires="x14">
        <control shapeId="32770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1543050</xdr:colOff>
                <xdr:row>1</xdr:row>
                <xdr:rowOff>47625</xdr:rowOff>
              </to>
            </anchor>
          </controlPr>
        </control>
      </mc:Choice>
      <mc:Fallback>
        <control shapeId="32770" r:id="rId6" name="Control 2"/>
      </mc:Fallback>
    </mc:AlternateContent>
    <mc:AlternateContent xmlns:mc="http://schemas.openxmlformats.org/markup-compatibility/2006">
      <mc:Choice Requires="x14">
        <control shapeId="32769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923925</xdr:colOff>
                <xdr:row>1</xdr:row>
                <xdr:rowOff>47625</xdr:rowOff>
              </to>
            </anchor>
          </controlPr>
        </control>
      </mc:Choice>
      <mc:Fallback>
        <control shapeId="32769" r:id="rId8" name="Control 1"/>
      </mc:Fallback>
    </mc:AlternateContent>
  </controls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68D072-A8D0-47BA-B5BE-A7508BF80D51}">
  <sheetPr codeName="Sheet13"/>
  <dimension ref="A2:K29"/>
  <sheetViews>
    <sheetView showGridLines="0" zoomScale="110" zoomScaleNormal="110" workbookViewId="0">
      <selection activeCell="I18" sqref="I18"/>
    </sheetView>
  </sheetViews>
  <sheetFormatPr defaultColWidth="9.140625" defaultRowHeight="14.25" x14ac:dyDescent="0.2"/>
  <cols>
    <col min="1" max="1" width="7.85546875" style="49" customWidth="1"/>
    <col min="2" max="2" width="32.5703125" style="49" bestFit="1" customWidth="1"/>
    <col min="3" max="6" width="11.5703125" style="49" customWidth="1"/>
    <col min="7" max="8" width="9.140625" style="49"/>
    <col min="9" max="9" width="11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ht="15" thickBot="1" x14ac:dyDescent="0.25">
      <c r="B7" s="220"/>
      <c r="C7" s="220"/>
      <c r="D7" s="220"/>
      <c r="E7" s="220"/>
      <c r="F7" s="220"/>
    </row>
    <row r="8" spans="1:6" ht="24.75" thickBot="1" x14ac:dyDescent="0.25">
      <c r="A8" s="50"/>
      <c r="B8" s="92" t="s">
        <v>12</v>
      </c>
      <c r="C8" s="66" t="s">
        <v>169</v>
      </c>
      <c r="D8" s="66" t="s">
        <v>170</v>
      </c>
      <c r="E8" s="66" t="s">
        <v>171</v>
      </c>
      <c r="F8" s="93" t="s">
        <v>172</v>
      </c>
    </row>
    <row r="9" spans="1:6" x14ac:dyDescent="0.2">
      <c r="A9" s="50">
        <v>511101</v>
      </c>
      <c r="B9" s="94" t="s">
        <v>114</v>
      </c>
      <c r="C9" s="88">
        <v>1765058.1792000001</v>
      </c>
      <c r="D9" s="88">
        <v>0</v>
      </c>
      <c r="E9" s="88">
        <v>0</v>
      </c>
      <c r="F9" s="90">
        <f t="shared" ref="F9:F26" si="0">SUM(C9:E9)</f>
        <v>1765058.1792000001</v>
      </c>
    </row>
    <row r="10" spans="1:6" x14ac:dyDescent="0.2">
      <c r="A10" s="50">
        <v>511301</v>
      </c>
      <c r="B10" s="95" t="s">
        <v>136</v>
      </c>
      <c r="C10" s="96">
        <v>721</v>
      </c>
      <c r="D10" s="96">
        <v>0</v>
      </c>
      <c r="E10" s="96">
        <v>0</v>
      </c>
      <c r="F10" s="97">
        <f t="shared" si="0"/>
        <v>721</v>
      </c>
    </row>
    <row r="11" spans="1:6" x14ac:dyDescent="0.2">
      <c r="A11" s="50">
        <v>512401</v>
      </c>
      <c r="B11" s="95" t="s">
        <v>115</v>
      </c>
      <c r="C11" s="96">
        <v>234016.66476000001</v>
      </c>
      <c r="D11" s="96">
        <v>0</v>
      </c>
      <c r="E11" s="96">
        <v>0</v>
      </c>
      <c r="F11" s="97">
        <f t="shared" si="0"/>
        <v>234016.66476000001</v>
      </c>
    </row>
    <row r="12" spans="1:6" x14ac:dyDescent="0.2">
      <c r="A12" s="50">
        <v>521101</v>
      </c>
      <c r="B12" s="95" t="s">
        <v>116</v>
      </c>
      <c r="C12" s="96">
        <v>8902</v>
      </c>
      <c r="D12" s="96">
        <v>0</v>
      </c>
      <c r="E12" s="96">
        <v>0</v>
      </c>
      <c r="F12" s="97">
        <f t="shared" si="0"/>
        <v>8902</v>
      </c>
    </row>
    <row r="13" spans="1:6" x14ac:dyDescent="0.2">
      <c r="A13" s="50">
        <v>521201</v>
      </c>
      <c r="B13" s="95" t="s">
        <v>117</v>
      </c>
      <c r="C13" s="96">
        <v>2496309.3200000003</v>
      </c>
      <c r="D13" s="96">
        <v>0</v>
      </c>
      <c r="E13" s="96">
        <v>0</v>
      </c>
      <c r="F13" s="97">
        <f t="shared" si="0"/>
        <v>2496309.3200000003</v>
      </c>
    </row>
    <row r="14" spans="1:6" x14ac:dyDescent="0.2">
      <c r="A14" s="50">
        <v>523302</v>
      </c>
      <c r="B14" s="95" t="s">
        <v>161</v>
      </c>
      <c r="C14" s="96">
        <v>1618782</v>
      </c>
      <c r="D14" s="96">
        <v>0</v>
      </c>
      <c r="E14" s="96">
        <v>0</v>
      </c>
      <c r="F14" s="97">
        <f t="shared" si="0"/>
        <v>1618782</v>
      </c>
    </row>
    <row r="15" spans="1:6" x14ac:dyDescent="0.2">
      <c r="A15" s="50">
        <v>523303</v>
      </c>
      <c r="B15" s="95" t="s">
        <v>162</v>
      </c>
      <c r="C15" s="96">
        <v>1250499</v>
      </c>
      <c r="D15" s="96">
        <v>0</v>
      </c>
      <c r="E15" s="96">
        <v>0</v>
      </c>
      <c r="F15" s="97">
        <f t="shared" si="0"/>
        <v>1250499</v>
      </c>
    </row>
    <row r="16" spans="1:6" x14ac:dyDescent="0.2">
      <c r="A16" s="50">
        <v>523304</v>
      </c>
      <c r="B16" s="95" t="s">
        <v>118</v>
      </c>
      <c r="C16" s="96">
        <v>1461763.2</v>
      </c>
      <c r="D16" s="96">
        <v>0</v>
      </c>
      <c r="E16" s="96">
        <v>0</v>
      </c>
      <c r="F16" s="97">
        <f t="shared" si="0"/>
        <v>1461763.2</v>
      </c>
    </row>
    <row r="17" spans="1:11" x14ac:dyDescent="0.2">
      <c r="A17" s="50">
        <v>523305</v>
      </c>
      <c r="B17" s="95" t="s">
        <v>163</v>
      </c>
      <c r="C17" s="96">
        <v>54678</v>
      </c>
      <c r="D17" s="96">
        <v>0</v>
      </c>
      <c r="E17" s="96">
        <v>0</v>
      </c>
      <c r="F17" s="97">
        <f t="shared" si="0"/>
        <v>54678</v>
      </c>
    </row>
    <row r="18" spans="1:11" x14ac:dyDescent="0.2">
      <c r="A18" s="50">
        <v>523401</v>
      </c>
      <c r="B18" s="95" t="s">
        <v>125</v>
      </c>
      <c r="C18" s="96">
        <v>5931</v>
      </c>
      <c r="D18" s="96">
        <v>0</v>
      </c>
      <c r="E18" s="96">
        <v>0</v>
      </c>
      <c r="F18" s="97">
        <f t="shared" si="0"/>
        <v>5931</v>
      </c>
      <c r="K18" s="49">
        <f>20747+5577</f>
        <v>26324</v>
      </c>
    </row>
    <row r="19" spans="1:11" x14ac:dyDescent="0.2">
      <c r="A19" s="50">
        <v>523402</v>
      </c>
      <c r="B19" s="95" t="s">
        <v>164</v>
      </c>
      <c r="C19" s="96">
        <v>25</v>
      </c>
      <c r="D19" s="96">
        <v>0</v>
      </c>
      <c r="E19" s="96">
        <v>0</v>
      </c>
      <c r="F19" s="97">
        <f t="shared" si="0"/>
        <v>25</v>
      </c>
    </row>
    <row r="20" spans="1:11" x14ac:dyDescent="0.2">
      <c r="A20" s="50">
        <v>523501</v>
      </c>
      <c r="B20" s="95" t="s">
        <v>119</v>
      </c>
      <c r="C20" s="96">
        <v>25822</v>
      </c>
      <c r="D20" s="96">
        <v>0</v>
      </c>
      <c r="E20" s="96">
        <v>0</v>
      </c>
      <c r="F20" s="97">
        <f t="shared" si="0"/>
        <v>25822</v>
      </c>
    </row>
    <row r="21" spans="1:11" x14ac:dyDescent="0.2">
      <c r="A21" s="50">
        <v>523601</v>
      </c>
      <c r="B21" s="95" t="s">
        <v>120</v>
      </c>
      <c r="C21" s="96">
        <v>15077</v>
      </c>
      <c r="D21" s="96">
        <v>0</v>
      </c>
      <c r="E21" s="96">
        <v>0</v>
      </c>
      <c r="F21" s="97">
        <f t="shared" si="0"/>
        <v>15077</v>
      </c>
    </row>
    <row r="22" spans="1:11" x14ac:dyDescent="0.2">
      <c r="A22" s="50">
        <v>523701</v>
      </c>
      <c r="B22" s="95" t="s">
        <v>121</v>
      </c>
      <c r="C22" s="96">
        <v>11454</v>
      </c>
      <c r="D22" s="96">
        <v>0</v>
      </c>
      <c r="E22" s="96">
        <v>0</v>
      </c>
      <c r="F22" s="97">
        <f t="shared" si="0"/>
        <v>11454</v>
      </c>
    </row>
    <row r="23" spans="1:11" x14ac:dyDescent="0.2">
      <c r="A23" s="50">
        <v>531101</v>
      </c>
      <c r="B23" s="95" t="s">
        <v>122</v>
      </c>
      <c r="C23" s="96">
        <v>5583</v>
      </c>
      <c r="D23" s="96">
        <v>0</v>
      </c>
      <c r="E23" s="96">
        <v>0</v>
      </c>
      <c r="F23" s="97">
        <f t="shared" si="0"/>
        <v>5583</v>
      </c>
    </row>
    <row r="24" spans="1:11" x14ac:dyDescent="0.2">
      <c r="A24" s="50">
        <v>531102</v>
      </c>
      <c r="B24" s="95" t="s">
        <v>152</v>
      </c>
      <c r="C24" s="96">
        <v>948</v>
      </c>
      <c r="D24" s="96">
        <v>0</v>
      </c>
      <c r="E24" s="96">
        <v>0</v>
      </c>
      <c r="F24" s="97">
        <f t="shared" si="0"/>
        <v>948</v>
      </c>
    </row>
    <row r="25" spans="1:11" x14ac:dyDescent="0.2">
      <c r="A25" s="50">
        <v>531105</v>
      </c>
      <c r="B25" s="95" t="s">
        <v>123</v>
      </c>
      <c r="C25" s="96">
        <v>332</v>
      </c>
      <c r="D25" s="96">
        <v>0</v>
      </c>
      <c r="E25" s="96">
        <v>0</v>
      </c>
      <c r="F25" s="97">
        <f t="shared" si="0"/>
        <v>332</v>
      </c>
    </row>
    <row r="26" spans="1:11" ht="15" thickBot="1" x14ac:dyDescent="0.25">
      <c r="A26" s="50">
        <v>531701</v>
      </c>
      <c r="B26" s="68" t="s">
        <v>148</v>
      </c>
      <c r="C26" s="96">
        <v>1685</v>
      </c>
      <c r="D26" s="96">
        <v>0</v>
      </c>
      <c r="E26" s="96">
        <v>0</v>
      </c>
      <c r="F26" s="72">
        <f t="shared" si="0"/>
        <v>1685</v>
      </c>
    </row>
    <row r="27" spans="1:11" ht="15" thickBot="1" x14ac:dyDescent="0.25">
      <c r="A27" s="50"/>
      <c r="B27" s="76" t="s">
        <v>173</v>
      </c>
      <c r="C27" s="77">
        <f>SUM(C9:C26)</f>
        <v>8957586.3639599998</v>
      </c>
      <c r="D27" s="77">
        <f t="shared" ref="D27:F27" si="1">SUM(D9:D26)</f>
        <v>0</v>
      </c>
      <c r="E27" s="77">
        <f t="shared" si="1"/>
        <v>0</v>
      </c>
      <c r="F27" s="78">
        <f t="shared" si="1"/>
        <v>8957586.3639599998</v>
      </c>
    </row>
    <row r="28" spans="1:11" ht="15" thickBot="1" x14ac:dyDescent="0.25">
      <c r="A28" s="50"/>
      <c r="B28" s="91" t="s">
        <v>174</v>
      </c>
      <c r="C28" s="80">
        <v>7965031.835434</v>
      </c>
      <c r="D28" s="80">
        <v>0</v>
      </c>
      <c r="E28" s="80">
        <v>0</v>
      </c>
      <c r="F28" s="81">
        <f>SUM(C28:E28)</f>
        <v>7965031.835434</v>
      </c>
    </row>
    <row r="29" spans="1:11" ht="15.75" thickTop="1" thickBot="1" x14ac:dyDescent="0.25">
      <c r="A29" s="50"/>
      <c r="B29" s="82" t="s">
        <v>175</v>
      </c>
      <c r="C29" s="83">
        <f>C27-C28</f>
        <v>992554.52852599975</v>
      </c>
      <c r="D29" s="83">
        <f t="shared" ref="D29:F29" si="2">D27-D28</f>
        <v>0</v>
      </c>
      <c r="E29" s="83">
        <f t="shared" si="2"/>
        <v>0</v>
      </c>
      <c r="F29" s="84">
        <f t="shared" si="2"/>
        <v>992554.52852599975</v>
      </c>
    </row>
  </sheetData>
  <mergeCells count="4">
    <mergeCell ref="B2:F4"/>
    <mergeCell ref="B5:F5"/>
    <mergeCell ref="B6:F6"/>
    <mergeCell ref="B7:F7"/>
  </mergeCells>
  <conditionalFormatting sqref="C27:C28">
    <cfRule type="cellIs" dxfId="2" priority="1" operator="lessThan">
      <formula>0</formula>
    </cfRule>
  </conditionalFormatting>
  <conditionalFormatting sqref="C9:E9 C29:F29">
    <cfRule type="cellIs" dxfId="1" priority="2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3795" r:id="rId4" name="Control 3">
          <controlPr defaultSize="0" r:id="rId5">
            <anchor moveWithCells="1">
              <from>
                <xdr:col>1</xdr:col>
                <xdr:colOff>1238250</xdr:colOff>
                <xdr:row>0</xdr:row>
                <xdr:rowOff>0</xdr:rowOff>
              </from>
              <to>
                <xdr:col>2</xdr:col>
                <xdr:colOff>66675</xdr:colOff>
                <xdr:row>1</xdr:row>
                <xdr:rowOff>66675</xdr:rowOff>
              </to>
            </anchor>
          </controlPr>
        </control>
      </mc:Choice>
      <mc:Fallback>
        <control shapeId="33795" r:id="rId4" name="Control 3"/>
      </mc:Fallback>
    </mc:AlternateContent>
    <mc:AlternateContent xmlns:mc="http://schemas.openxmlformats.org/markup-compatibility/2006">
      <mc:Choice Requires="x14">
        <control shapeId="33794" r:id="rId6" name="Control 2">
          <controlPr defaultSize="0" r:id="rId7">
            <anchor moveWithCells="1">
              <from>
                <xdr:col>1</xdr:col>
                <xdr:colOff>590550</xdr:colOff>
                <xdr:row>0</xdr:row>
                <xdr:rowOff>0</xdr:rowOff>
              </from>
              <to>
                <xdr:col>1</xdr:col>
                <xdr:colOff>1600200</xdr:colOff>
                <xdr:row>1</xdr:row>
                <xdr:rowOff>66675</xdr:rowOff>
              </to>
            </anchor>
          </controlPr>
        </control>
      </mc:Choice>
      <mc:Fallback>
        <control shapeId="33794" r:id="rId6" name="Control 2"/>
      </mc:Fallback>
    </mc:AlternateContent>
    <mc:AlternateContent xmlns:mc="http://schemas.openxmlformats.org/markup-compatibility/2006">
      <mc:Choice Requires="x14">
        <control shapeId="33793" r:id="rId8" name="Control 1">
          <controlPr defaultSize="0" r:id="rId9">
            <anchor moveWithCells="1">
              <from>
                <xdr:col>1</xdr:col>
                <xdr:colOff>514350</xdr:colOff>
                <xdr:row>0</xdr:row>
                <xdr:rowOff>0</xdr:rowOff>
              </from>
              <to>
                <xdr:col>1</xdr:col>
                <xdr:colOff>1524000</xdr:colOff>
                <xdr:row>1</xdr:row>
                <xdr:rowOff>66675</xdr:rowOff>
              </to>
            </anchor>
          </controlPr>
        </control>
      </mc:Choice>
      <mc:Fallback>
        <control shapeId="33793" r:id="rId8" name="Control 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4A48F-78CE-40E5-B729-2D41C4E08909}">
  <sheetPr codeName="Sheet2"/>
  <dimension ref="A1:AA365"/>
  <sheetViews>
    <sheetView showGridLines="0" zoomScale="90" zoomScaleNormal="90" workbookViewId="0">
      <pane xSplit="3" ySplit="10" topLeftCell="P11" activePane="bottomRight" state="frozen"/>
      <selection activeCell="Q7" sqref="Q7"/>
      <selection pane="topRight" activeCell="Q7" sqref="Q7"/>
      <selection pane="bottomLeft" activeCell="Q7" sqref="Q7"/>
      <selection pane="bottomRight" activeCell="Q7" sqref="Q7"/>
    </sheetView>
  </sheetViews>
  <sheetFormatPr defaultColWidth="9.140625" defaultRowHeight="12.75" outlineLevelRow="1" outlineLevelCol="1" x14ac:dyDescent="0.2"/>
  <cols>
    <col min="1" max="2" width="9.140625" style="3" customWidth="1"/>
    <col min="3" max="3" width="37.140625" style="3" customWidth="1"/>
    <col min="4" max="5" width="14.42578125" style="3" customWidth="1" outlineLevel="1"/>
    <col min="6" max="6" width="12" style="3" customWidth="1" outlineLevel="1"/>
    <col min="7" max="7" width="15" style="3" customWidth="1" outlineLevel="1"/>
    <col min="8" max="8" width="12.140625" style="3" customWidth="1" outlineLevel="1"/>
    <col min="9" max="9" width="13.85546875" style="3" customWidth="1" outlineLevel="1"/>
    <col min="10" max="11" width="14.85546875" style="3" customWidth="1" outlineLevel="1"/>
    <col min="12" max="12" width="13.28515625" style="3" customWidth="1" outlineLevel="1"/>
    <col min="13" max="13" width="14.85546875" style="3" customWidth="1" outlineLevel="1"/>
    <col min="14" max="14" width="13.28515625" style="3" customWidth="1" outlineLevel="1"/>
    <col min="15" max="15" width="15.42578125" style="3" customWidth="1" outlineLevel="1"/>
    <col min="16" max="16" width="16.140625" style="3" customWidth="1" outlineLevel="1" collapsed="1"/>
    <col min="17" max="17" width="14.85546875" style="3" customWidth="1" outlineLevel="1"/>
    <col min="18" max="18" width="13.28515625" style="3" customWidth="1" outlineLevel="1"/>
    <col min="19" max="19" width="15.28515625" style="3" customWidth="1" outlineLevel="1"/>
    <col min="20" max="20" width="16.42578125" style="3" bestFit="1" customWidth="1"/>
    <col min="21" max="22" width="17.5703125" style="3" bestFit="1" customWidth="1"/>
    <col min="23" max="23" width="16.42578125" style="3" bestFit="1" customWidth="1"/>
    <col min="24" max="24" width="14" style="3" customWidth="1"/>
    <col min="25" max="25" width="2.7109375" style="3" customWidth="1"/>
    <col min="26" max="26" width="12.28515625" style="3" customWidth="1"/>
    <col min="27" max="27" width="13" style="4" customWidth="1"/>
    <col min="28" max="16384" width="9.140625" style="3"/>
  </cols>
  <sheetData>
    <row r="1" spans="1:27" x14ac:dyDescent="0.2">
      <c r="Z1" s="4"/>
      <c r="AA1" s="3"/>
    </row>
    <row r="2" spans="1:27" x14ac:dyDescent="0.2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8"/>
      <c r="Z2" s="4"/>
      <c r="AA2" s="3"/>
    </row>
    <row r="3" spans="1:27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"/>
      <c r="AA3" s="3"/>
    </row>
    <row r="4" spans="1:27" x14ac:dyDescent="0.2"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8"/>
      <c r="Z4" s="4"/>
      <c r="AA4" s="3"/>
    </row>
    <row r="5" spans="1:27" x14ac:dyDescent="0.2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"/>
      <c r="AA5" s="3"/>
    </row>
    <row r="6" spans="1:27" x14ac:dyDescent="0.2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"/>
      <c r="AA6" s="3"/>
    </row>
    <row r="7" spans="1:27" x14ac:dyDescent="0.2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"/>
      <c r="AA7" s="6"/>
    </row>
    <row r="8" spans="1:27" ht="12.75" customHeight="1" x14ac:dyDescent="0.2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46"/>
      <c r="V8" s="8"/>
      <c r="W8" s="8"/>
      <c r="X8" s="8"/>
      <c r="Y8" s="8"/>
      <c r="Z8" s="4"/>
      <c r="AA8" s="3"/>
    </row>
    <row r="9" spans="1:27" ht="30" customHeight="1" x14ac:dyDescent="0.2">
      <c r="C9" s="4"/>
      <c r="D9" s="45"/>
      <c r="E9" s="45"/>
      <c r="F9" s="45"/>
      <c r="G9" s="4"/>
      <c r="H9" s="44"/>
      <c r="I9" s="44"/>
      <c r="J9" s="44"/>
      <c r="K9" s="44"/>
      <c r="L9" s="4"/>
      <c r="M9" s="4"/>
      <c r="N9" s="44"/>
      <c r="O9" s="4"/>
      <c r="P9" s="44"/>
      <c r="Q9" s="44"/>
      <c r="R9" s="4"/>
      <c r="S9" s="44"/>
      <c r="T9" s="44"/>
      <c r="U9" s="43"/>
      <c r="V9" s="8"/>
      <c r="W9" s="8"/>
      <c r="X9" s="8"/>
      <c r="Y9" s="8"/>
      <c r="Z9" s="4"/>
      <c r="AA9" s="6"/>
    </row>
    <row r="10" spans="1:27" s="38" customFormat="1" ht="38.25" customHeight="1" x14ac:dyDescent="0.2">
      <c r="C10" s="42" t="s">
        <v>12</v>
      </c>
      <c r="D10" s="41" t="s">
        <v>15</v>
      </c>
      <c r="E10" s="41" t="s">
        <v>1</v>
      </c>
      <c r="F10" s="41" t="s">
        <v>2</v>
      </c>
      <c r="G10" s="41" t="s">
        <v>3</v>
      </c>
      <c r="H10" s="41" t="s">
        <v>4</v>
      </c>
      <c r="I10" s="41" t="s">
        <v>5</v>
      </c>
      <c r="J10" s="41" t="s">
        <v>198</v>
      </c>
      <c r="K10" s="41" t="s">
        <v>221</v>
      </c>
      <c r="L10" s="41" t="s">
        <v>6</v>
      </c>
      <c r="M10" s="41" t="s">
        <v>7</v>
      </c>
      <c r="N10" s="41" t="s">
        <v>80</v>
      </c>
      <c r="O10" s="41" t="s">
        <v>16</v>
      </c>
      <c r="P10" s="41" t="s">
        <v>8</v>
      </c>
      <c r="Q10" s="41" t="s">
        <v>9</v>
      </c>
      <c r="R10" s="41" t="s">
        <v>10</v>
      </c>
      <c r="S10" s="41" t="s">
        <v>11</v>
      </c>
      <c r="T10" s="41" t="s">
        <v>75</v>
      </c>
      <c r="U10" s="41" t="s">
        <v>219</v>
      </c>
      <c r="V10" s="41" t="s">
        <v>199</v>
      </c>
      <c r="W10" s="41" t="s">
        <v>214</v>
      </c>
      <c r="X10" s="41" t="s">
        <v>215</v>
      </c>
      <c r="Y10" s="39"/>
    </row>
    <row r="11" spans="1:27" ht="12.75" customHeight="1" x14ac:dyDescent="0.2">
      <c r="A11" s="3">
        <v>511101</v>
      </c>
      <c r="B11" s="30">
        <v>511101</v>
      </c>
      <c r="C11" s="29" t="s">
        <v>65</v>
      </c>
      <c r="D11" s="112">
        <f>IFERROR(VLOOKUP(B11,'AllFundsBudgetByAccount (not us'!A:C,3,0),0)</f>
        <v>1795440.2704</v>
      </c>
      <c r="E11" s="112">
        <f>IFERROR(VLOOKUP(B11,'AllFundsBudgetByAccount (not us'!A:D,4,0),0)</f>
        <v>617122.28960000002</v>
      </c>
      <c r="F11" s="112">
        <f>IFERROR(VLOOKUP(B11,'AllFundsBudgetByAccount (not us'!A:E,5,0),0)</f>
        <v>0</v>
      </c>
      <c r="G11" s="112">
        <f>IFERROR(VLOOKUP(B11,'AllFundsBudgetByAccount (not us'!A:H,8,0),0)</f>
        <v>1925400.0532</v>
      </c>
      <c r="H11" s="112">
        <f>IFERROR(VLOOKUP(B11,'AllFundsBudgetByAccount (not us'!A:J,10,0),0)</f>
        <v>1087690.3584</v>
      </c>
      <c r="I11" s="112">
        <f>IFERROR(VLOOKUP(B11,'AllFundsBudgetByAccount (not us'!A:K,11,0),0)</f>
        <v>1262887.6632000001</v>
      </c>
      <c r="J11" s="112">
        <f>IFERROR(VLOOKUP(B11,'AllFundsBudgetByAccount (not us'!A:N,14,0),0)</f>
        <v>1130854.456</v>
      </c>
      <c r="K11" s="112">
        <f>IFERROR(VLOOKUP(B11,'AllFundsBudgetByAccount (not us'!A:F,6,0),0)</f>
        <v>568149.00959999999</v>
      </c>
      <c r="L11" s="112">
        <f>IFERROR(VLOOKUP(B11,'AllFundsBudgetByAccount (not us'!A:Q,17,0),0)</f>
        <v>-3322058</v>
      </c>
      <c r="M11" s="112">
        <f>IFERROR(VLOOKUP(B11,'AllFundsBudgetByAccount (not us'!A:R,18,0),0)</f>
        <v>10390316.954399999</v>
      </c>
      <c r="N11" s="112">
        <f>IFERROR(VLOOKUP(B11,'AllFundsBudgetByAccount (not us'!A:T,20,0),0)</f>
        <v>68471478.127599999</v>
      </c>
      <c r="O11" s="112">
        <f>IFERROR(VLOOKUP(B11,'AllFundsBudgetByAccount (not us'!A:G,7,0),0)</f>
        <v>15364463.4472</v>
      </c>
      <c r="P11" s="112">
        <f>IFERROR(VLOOKUP(B11,'AllFundsBudgetByAccount (not us'!A:I,9,0),0)</f>
        <v>13446913.5144</v>
      </c>
      <c r="Q11" s="112">
        <f>IFERROR(VLOOKUP(B11,'AllFundsBudgetByAccount (not us'!A:L,12,0),0)</f>
        <v>14075857.634400001</v>
      </c>
      <c r="R11" s="112">
        <f>IFERROR(VLOOKUP(B11,'AllFundsBudgetByAccount (not us'!A:M,13,0),0)</f>
        <v>3486651.7519999999</v>
      </c>
      <c r="S11" s="112">
        <f>IFERROR(VLOOKUP(B11,'AllFundsBudgetByAccount (not us'!A:P,16,0),0)</f>
        <v>1955271.868</v>
      </c>
      <c r="T11" s="112">
        <f>IFERROR(VLOOKUP(B11,'AllFundsBudgetByAccount (not us'!A:S,19,0),0)</f>
        <v>1217730</v>
      </c>
      <c r="U11" s="113">
        <f>SUM(D11:T11)</f>
        <v>133474169.39840001</v>
      </c>
      <c r="V11" s="112">
        <v>61740284.116799995</v>
      </c>
      <c r="W11" s="34">
        <f>U11-V11</f>
        <v>71733885.281600013</v>
      </c>
      <c r="X11" s="23">
        <f>IF(V11=0,100%,W11/V11)</f>
        <v>1.1618651632035604</v>
      </c>
      <c r="Y11" s="23"/>
      <c r="Z11" s="15"/>
    </row>
    <row r="12" spans="1:27" ht="12" customHeight="1" x14ac:dyDescent="0.2">
      <c r="B12" s="30">
        <v>511202</v>
      </c>
      <c r="C12" s="29" t="s">
        <v>66</v>
      </c>
      <c r="D12" s="118">
        <f>IFERROR(VLOOKUP(B12,'AllFundsBudgetByAccount (not us'!A:C,3,0),0)</f>
        <v>0</v>
      </c>
      <c r="E12" s="118">
        <f>IFERROR(VLOOKUP(B12,'AllFundsBudgetByAccount (not us'!A:D,4,0),0)</f>
        <v>0</v>
      </c>
      <c r="F12" s="118">
        <f>IFERROR(VLOOKUP(B12,'AllFundsBudgetByAccount (not us'!A:E,5,0),0)</f>
        <v>0</v>
      </c>
      <c r="G12" s="118">
        <f>IFERROR(VLOOKUP(B12,'AllFundsBudgetByAccount (not us'!A:H,8,0),0)</f>
        <v>89528.71</v>
      </c>
      <c r="H12" s="118">
        <f>IFERROR(VLOOKUP(B12,'AllFundsBudgetByAccount (not us'!A:J,10,0),0)</f>
        <v>0</v>
      </c>
      <c r="I12" s="118">
        <f>IFERROR(VLOOKUP(B12,'AllFundsBudgetByAccount (not us'!A:K,11,0),0)</f>
        <v>158448</v>
      </c>
      <c r="J12" s="118">
        <f>IFERROR(VLOOKUP(B12,'AllFundsBudgetByAccount (not us'!A:N,14,0),0)</f>
        <v>0</v>
      </c>
      <c r="K12" s="118">
        <f>IFERROR(VLOOKUP(B12,'AllFundsBudgetByAccount (not us'!A:F,6,0),0)</f>
        <v>0</v>
      </c>
      <c r="L12" s="118">
        <f>IFERROR(VLOOKUP(B12,'AllFundsBudgetByAccount (not us'!A:Q,17,0),0)</f>
        <v>0</v>
      </c>
      <c r="M12" s="118">
        <f>IFERROR(VLOOKUP(B12,'AllFundsBudgetByAccount (not us'!A:R,18,0),0)</f>
        <v>0</v>
      </c>
      <c r="N12" s="118">
        <f>IFERROR(VLOOKUP(B12,'AllFundsBudgetByAccount (not us'!A:T,20,0),0)</f>
        <v>247976.71</v>
      </c>
      <c r="O12" s="118">
        <f>IFERROR(VLOOKUP(B12,'AllFundsBudgetByAccount (not us'!A:G,7,0),0)</f>
        <v>0</v>
      </c>
      <c r="P12" s="118">
        <f>IFERROR(VLOOKUP(B12,'AllFundsBudgetByAccount (not us'!A:I,9,0),0)</f>
        <v>0</v>
      </c>
      <c r="Q12" s="118">
        <f>IFERROR(VLOOKUP(B12,'AllFundsBudgetByAccount (not us'!A:L,12,0),0)</f>
        <v>0</v>
      </c>
      <c r="R12" s="118">
        <f>IFERROR(VLOOKUP(B12,'AllFundsBudgetByAccount (not us'!A:M,13,0),0)</f>
        <v>0</v>
      </c>
      <c r="S12" s="118">
        <f>IFERROR(VLOOKUP(B12,'AllFundsBudgetByAccount (not us'!A:P,16,0),0)</f>
        <v>0</v>
      </c>
      <c r="T12" s="118">
        <f>IFERROR(VLOOKUP(B12,'AllFundsBudgetByAccount (not us'!A:S,19,0),0)</f>
        <v>0</v>
      </c>
      <c r="U12" s="119">
        <f t="shared" ref="U12:U75" si="0">SUM(D12:T12)</f>
        <v>495953.42000000004</v>
      </c>
      <c r="V12" s="118">
        <v>248448</v>
      </c>
      <c r="W12" s="26">
        <f t="shared" ref="W12:W75" si="1">U12-V12</f>
        <v>247505.42000000004</v>
      </c>
      <c r="X12" s="23">
        <f t="shared" ref="X12:X75" si="2">IF(V12=0,100%,W12/V12)</f>
        <v>0.99620612764039174</v>
      </c>
      <c r="Y12" s="23"/>
      <c r="Z12" s="15"/>
    </row>
    <row r="13" spans="1:27" ht="12" customHeight="1" x14ac:dyDescent="0.2">
      <c r="A13" s="3">
        <v>511301</v>
      </c>
      <c r="B13" s="30">
        <v>511301</v>
      </c>
      <c r="C13" s="29" t="s">
        <v>67</v>
      </c>
      <c r="D13" s="118">
        <f>IFERROR(VLOOKUP(B13,'AllFundsBudgetByAccount (not us'!A:C,3,0),0)</f>
        <v>0</v>
      </c>
      <c r="E13" s="118">
        <f>IFERROR(VLOOKUP(B13,'AllFundsBudgetByAccount (not us'!A:D,4,0),0)</f>
        <v>0</v>
      </c>
      <c r="F13" s="118">
        <f>IFERROR(VLOOKUP(B13,'AllFundsBudgetByAccount (not us'!A:E,5,0),0)</f>
        <v>0</v>
      </c>
      <c r="G13" s="118">
        <f>IFERROR(VLOOKUP(B13,'AllFundsBudgetByAccount (not us'!A:H,8,0),0)</f>
        <v>2000</v>
      </c>
      <c r="H13" s="118">
        <f>IFERROR(VLOOKUP(B13,'AllFundsBudgetByAccount (not us'!A:J,10,0),0)</f>
        <v>0</v>
      </c>
      <c r="I13" s="118">
        <f>IFERROR(VLOOKUP(B13,'AllFundsBudgetByAccount (not us'!A:K,11,0),0)</f>
        <v>0</v>
      </c>
      <c r="J13" s="118">
        <f>IFERROR(VLOOKUP(B13,'AllFundsBudgetByAccount (not us'!A:N,14,0),0)</f>
        <v>0</v>
      </c>
      <c r="K13" s="118">
        <f>IFERROR(VLOOKUP(B13,'AllFundsBudgetByAccount (not us'!A:F,6,0),0)</f>
        <v>0</v>
      </c>
      <c r="L13" s="118">
        <f>IFERROR(VLOOKUP(B13,'AllFundsBudgetByAccount (not us'!A:Q,17,0),0)</f>
        <v>0</v>
      </c>
      <c r="M13" s="118">
        <f>IFERROR(VLOOKUP(B13,'AllFundsBudgetByAccount (not us'!A:R,18,0),0)</f>
        <v>270554</v>
      </c>
      <c r="N13" s="118">
        <f>IFERROR(VLOOKUP(B13,'AllFundsBudgetByAccount (not us'!A:T,20,0),0)</f>
        <v>1308282.19</v>
      </c>
      <c r="O13" s="118">
        <f>IFERROR(VLOOKUP(B13,'AllFundsBudgetByAccount (not us'!A:G,7,0),0)</f>
        <v>275466.19</v>
      </c>
      <c r="P13" s="118">
        <f>IFERROR(VLOOKUP(B13,'AllFundsBudgetByAccount (not us'!A:I,9,0),0)</f>
        <v>88215</v>
      </c>
      <c r="Q13" s="118">
        <f>IFERROR(VLOOKUP(B13,'AllFundsBudgetByAccount (not us'!A:L,12,0),0)</f>
        <v>627047</v>
      </c>
      <c r="R13" s="118">
        <f>IFERROR(VLOOKUP(B13,'AllFundsBudgetByAccount (not us'!A:M,13,0),0)</f>
        <v>0</v>
      </c>
      <c r="S13" s="118">
        <f>IFERROR(VLOOKUP(B13,'AllFundsBudgetByAccount (not us'!A:P,16,0),0)</f>
        <v>45000</v>
      </c>
      <c r="T13" s="118">
        <f>IFERROR(VLOOKUP(B13,'AllFundsBudgetByAccount (not us'!A:S,19,0),0)</f>
        <v>0</v>
      </c>
      <c r="U13" s="119">
        <f t="shared" si="0"/>
        <v>2616564.38</v>
      </c>
      <c r="V13" s="118">
        <v>950257.02999999991</v>
      </c>
      <c r="W13" s="26">
        <f t="shared" si="1"/>
        <v>1666307.35</v>
      </c>
      <c r="X13" s="23">
        <f t="shared" si="2"/>
        <v>1.753533304562872</v>
      </c>
      <c r="Y13" s="23"/>
      <c r="Z13" s="115"/>
      <c r="AA13" s="116"/>
    </row>
    <row r="14" spans="1:27" ht="12" customHeight="1" x14ac:dyDescent="0.2">
      <c r="A14" s="3">
        <v>512101</v>
      </c>
      <c r="B14" s="30">
        <v>512101</v>
      </c>
      <c r="C14" s="29" t="s">
        <v>68</v>
      </c>
      <c r="D14" s="118">
        <f>IFERROR(VLOOKUP(B14,'AllFundsBudgetByAccount (not us'!A:C,3,0),0)</f>
        <v>0</v>
      </c>
      <c r="E14" s="118">
        <f>IFERROR(VLOOKUP(B14,'AllFundsBudgetByAccount (not us'!A:D,4,0),0)</f>
        <v>0</v>
      </c>
      <c r="F14" s="118">
        <f>IFERROR(VLOOKUP(B14,'AllFundsBudgetByAccount (not us'!A:E,5,0),0)</f>
        <v>0</v>
      </c>
      <c r="G14" s="118">
        <f>IFERROR(VLOOKUP(B14,'AllFundsBudgetByAccount (not us'!A:H,8,0),0)</f>
        <v>0</v>
      </c>
      <c r="H14" s="118">
        <f>IFERROR(VLOOKUP(B14,'AllFundsBudgetByAccount (not us'!A:J,10,0),0)</f>
        <v>0</v>
      </c>
      <c r="I14" s="118">
        <f>IFERROR(VLOOKUP(B14,'AllFundsBudgetByAccount (not us'!A:K,11,0),0)</f>
        <v>0</v>
      </c>
      <c r="J14" s="118">
        <f>IFERROR(VLOOKUP(B14,'AllFundsBudgetByAccount (not us'!A:N,14,0),0)</f>
        <v>0</v>
      </c>
      <c r="K14" s="118">
        <f>IFERROR(VLOOKUP(B14,'AllFundsBudgetByAccount (not us'!A:F,6,0),0)</f>
        <v>0</v>
      </c>
      <c r="L14" s="118">
        <f>IFERROR(VLOOKUP(B14,'AllFundsBudgetByAccount (not us'!A:Q,17,0),0)</f>
        <v>8881190</v>
      </c>
      <c r="M14" s="118">
        <f>IFERROR(VLOOKUP(B14,'AllFundsBudgetByAccount (not us'!A:R,18,0),0)</f>
        <v>0</v>
      </c>
      <c r="N14" s="118">
        <f>IFERROR(VLOOKUP(B14,'AllFundsBudgetByAccount (not us'!A:T,20,0),0)</f>
        <v>8881190</v>
      </c>
      <c r="O14" s="118">
        <f>IFERROR(VLOOKUP(B14,'AllFundsBudgetByAccount (not us'!A:G,7,0),0)</f>
        <v>0</v>
      </c>
      <c r="P14" s="118">
        <f>IFERROR(VLOOKUP(B14,'AllFundsBudgetByAccount (not us'!A:I,9,0),0)</f>
        <v>0</v>
      </c>
      <c r="Q14" s="118">
        <f>IFERROR(VLOOKUP(B14,'AllFundsBudgetByAccount (not us'!A:L,12,0),0)</f>
        <v>0</v>
      </c>
      <c r="R14" s="118">
        <f>IFERROR(VLOOKUP(B14,'AllFundsBudgetByAccount (not us'!A:M,13,0),0)</f>
        <v>0</v>
      </c>
      <c r="S14" s="118">
        <f>IFERROR(VLOOKUP(B14,'AllFundsBudgetByAccount (not us'!A:P,16,0),0)</f>
        <v>0</v>
      </c>
      <c r="T14" s="118">
        <f>IFERROR(VLOOKUP(B14,'AllFundsBudgetByAccount (not us'!A:S,19,0),0)</f>
        <v>0</v>
      </c>
      <c r="U14" s="119">
        <f t="shared" si="0"/>
        <v>17762380</v>
      </c>
      <c r="V14" s="118">
        <v>7618675</v>
      </c>
      <c r="W14" s="26">
        <f t="shared" si="1"/>
        <v>10143705</v>
      </c>
      <c r="X14" s="23">
        <f t="shared" si="2"/>
        <v>1.3314263963221951</v>
      </c>
      <c r="Y14" s="23"/>
      <c r="Z14" s="15"/>
      <c r="AA14" s="3"/>
    </row>
    <row r="15" spans="1:27" ht="12" customHeight="1" x14ac:dyDescent="0.2">
      <c r="A15" s="3">
        <v>512401</v>
      </c>
      <c r="B15" s="30">
        <v>512401</v>
      </c>
      <c r="C15" s="29" t="s">
        <v>69</v>
      </c>
      <c r="D15" s="118">
        <f>IFERROR(VLOOKUP(B15,'AllFundsBudgetByAccount (not us'!A:C,3,0),0)</f>
        <v>233407.11749599999</v>
      </c>
      <c r="E15" s="118">
        <f>IFERROR(VLOOKUP(B15,'AllFundsBudgetByAccount (not us'!A:D,4,0),0)</f>
        <v>71414.886123000004</v>
      </c>
      <c r="F15" s="118">
        <f>IFERROR(VLOOKUP(B15,'AllFundsBudgetByAccount (not us'!A:E,5,0),0)</f>
        <v>0</v>
      </c>
      <c r="G15" s="118">
        <f>IFERROR(VLOOKUP(B15,'AllFundsBudgetByAccount (not us'!A:H,8,0),0)</f>
        <v>272510.816032</v>
      </c>
      <c r="H15" s="118">
        <f>IFERROR(VLOOKUP(B15,'AllFundsBudgetByAccount (not us'!A:J,10,0),0)</f>
        <v>153900.08101299999</v>
      </c>
      <c r="I15" s="118">
        <f>IFERROR(VLOOKUP(B15,'AllFundsBudgetByAccount (not us'!A:K,11,0),0)</f>
        <v>178699.011248</v>
      </c>
      <c r="J15" s="118">
        <f>IFERROR(VLOOKUP(B15,'AllFundsBudgetByAccount (not us'!A:N,14,0),0)</f>
        <v>160038.930525</v>
      </c>
      <c r="K15" s="118">
        <f>IFERROR(VLOOKUP(B15,'AllFundsBudgetByAccount (not us'!A:F,6,0),0)</f>
        <v>80392.834858000002</v>
      </c>
      <c r="L15" s="118">
        <f>IFERROR(VLOOKUP(B15,'AllFundsBudgetByAccount (not us'!A:Q,17,0),0)</f>
        <v>-750000</v>
      </c>
      <c r="M15" s="118">
        <f>IFERROR(VLOOKUP(B15,'AllFundsBudgetByAccount (not us'!A:R,18,0),0)</f>
        <v>1470353.094452</v>
      </c>
      <c r="N15" s="118">
        <f>IFERROR(VLOOKUP(B15,'AllFundsBudgetByAccount (not us'!A:T,20,0),0)</f>
        <v>9179294.4721280001</v>
      </c>
      <c r="O15" s="118">
        <f>IFERROR(VLOOKUP(B15,'AllFundsBudgetByAccount (not us'!A:G,7,0),0)</f>
        <v>2174134.244281</v>
      </c>
      <c r="P15" s="118">
        <f>IFERROR(VLOOKUP(B15,'AllFundsBudgetByAccount (not us'!A:I,9,0),0)</f>
        <v>1720343.4832890001</v>
      </c>
      <c r="Q15" s="118">
        <f>IFERROR(VLOOKUP(B15,'AllFundsBudgetByAccount (not us'!A:L,12,0),0)</f>
        <v>1993874.6745199999</v>
      </c>
      <c r="R15" s="118">
        <f>IFERROR(VLOOKUP(B15,'AllFundsBudgetByAccount (not us'!A:M,13,0),0)</f>
        <v>480474.60035199998</v>
      </c>
      <c r="S15" s="118">
        <f>IFERROR(VLOOKUP(B15,'AllFundsBudgetByAccount (not us'!A:P,16,0),0)</f>
        <v>276608.971823</v>
      </c>
      <c r="T15" s="118">
        <f>IFERROR(VLOOKUP(B15,'AllFundsBudgetByAccount (not us'!A:S,19,0),0)</f>
        <v>172308.52</v>
      </c>
      <c r="U15" s="119">
        <f t="shared" si="0"/>
        <v>17867755.738139998</v>
      </c>
      <c r="V15" s="118">
        <v>8851602.8564309999</v>
      </c>
      <c r="W15" s="26">
        <f t="shared" si="1"/>
        <v>9016152.8817089982</v>
      </c>
      <c r="X15" s="23">
        <f t="shared" si="2"/>
        <v>1.0185898563172033</v>
      </c>
      <c r="Y15" s="23"/>
      <c r="Z15" s="15"/>
      <c r="AA15" s="3"/>
    </row>
    <row r="16" spans="1:27" ht="12" customHeight="1" x14ac:dyDescent="0.2">
      <c r="B16" s="30">
        <v>512402</v>
      </c>
      <c r="C16" s="29" t="s">
        <v>70</v>
      </c>
      <c r="D16" s="118">
        <f>IFERROR(VLOOKUP(B16,'AllFundsBudgetByAccount (not us'!A:C,3,0),0)</f>
        <v>0</v>
      </c>
      <c r="E16" s="118">
        <f>IFERROR(VLOOKUP(B16,'AllFundsBudgetByAccount (not us'!A:D,4,0),0)</f>
        <v>0</v>
      </c>
      <c r="F16" s="118">
        <f>IFERROR(VLOOKUP(B16,'AllFundsBudgetByAccount (not us'!A:E,5,0),0)</f>
        <v>0</v>
      </c>
      <c r="G16" s="118">
        <f>IFERROR(VLOOKUP(B16,'AllFundsBudgetByAccount (not us'!A:H,8,0),0)</f>
        <v>8305</v>
      </c>
      <c r="H16" s="118">
        <f>IFERROR(VLOOKUP(B16,'AllFundsBudgetByAccount (not us'!A:J,10,0),0)</f>
        <v>0</v>
      </c>
      <c r="I16" s="118">
        <f>IFERROR(VLOOKUP(B16,'AllFundsBudgetByAccount (not us'!A:K,11,0),0)</f>
        <v>2298</v>
      </c>
      <c r="J16" s="118">
        <f>IFERROR(VLOOKUP(B16,'AllFundsBudgetByAccount (not us'!A:N,14,0),0)</f>
        <v>0</v>
      </c>
      <c r="K16" s="118">
        <f>IFERROR(VLOOKUP(B16,'AllFundsBudgetByAccount (not us'!A:F,6,0),0)</f>
        <v>0</v>
      </c>
      <c r="L16" s="118">
        <f>IFERROR(VLOOKUP(B16,'AllFundsBudgetByAccount (not us'!A:Q,17,0),0)</f>
        <v>0</v>
      </c>
      <c r="M16" s="118">
        <f>IFERROR(VLOOKUP(B16,'AllFundsBudgetByAccount (not us'!A:R,18,0),0)</f>
        <v>0</v>
      </c>
      <c r="N16" s="118">
        <f>IFERROR(VLOOKUP(B16,'AllFundsBudgetByAccount (not us'!A:T,20,0),0)</f>
        <v>10603</v>
      </c>
      <c r="O16" s="118">
        <f>IFERROR(VLOOKUP(B16,'AllFundsBudgetByAccount (not us'!A:G,7,0),0)</f>
        <v>0</v>
      </c>
      <c r="P16" s="118">
        <f>IFERROR(VLOOKUP(B16,'AllFundsBudgetByAccount (not us'!A:I,9,0),0)</f>
        <v>0</v>
      </c>
      <c r="Q16" s="118">
        <f>IFERROR(VLOOKUP(B16,'AllFundsBudgetByAccount (not us'!A:L,12,0),0)</f>
        <v>0</v>
      </c>
      <c r="R16" s="118">
        <f>IFERROR(VLOOKUP(B16,'AllFundsBudgetByAccount (not us'!A:M,13,0),0)</f>
        <v>0</v>
      </c>
      <c r="S16" s="118">
        <f>IFERROR(VLOOKUP(B16,'AllFundsBudgetByAccount (not us'!A:P,16,0),0)</f>
        <v>0</v>
      </c>
      <c r="T16" s="118">
        <f>IFERROR(VLOOKUP(B16,'AllFundsBudgetByAccount (not us'!A:S,19,0),0)</f>
        <v>0</v>
      </c>
      <c r="U16" s="119">
        <f t="shared" si="0"/>
        <v>21206</v>
      </c>
      <c r="V16" s="118">
        <v>3603</v>
      </c>
      <c r="W16" s="118">
        <f t="shared" si="1"/>
        <v>17603</v>
      </c>
      <c r="X16" s="118">
        <f t="shared" si="2"/>
        <v>4.8856508465167918</v>
      </c>
      <c r="Y16" s="23"/>
      <c r="Z16" s="15"/>
      <c r="AA16" s="3"/>
    </row>
    <row r="17" spans="1:27" ht="12" customHeight="1" x14ac:dyDescent="0.2">
      <c r="A17" s="3">
        <v>512501</v>
      </c>
      <c r="B17" s="30">
        <v>512501</v>
      </c>
      <c r="C17" s="29" t="s">
        <v>71</v>
      </c>
      <c r="D17" s="118">
        <f>IFERROR(VLOOKUP(B17,'AllFundsBudgetByAccount (not us'!A:C,3,0),0)</f>
        <v>0</v>
      </c>
      <c r="E17" s="118">
        <f>IFERROR(VLOOKUP(B17,'AllFundsBudgetByAccount (not us'!A:D,4,0),0)</f>
        <v>0</v>
      </c>
      <c r="F17" s="118">
        <f>IFERROR(VLOOKUP(B17,'AllFundsBudgetByAccount (not us'!A:E,5,0),0)</f>
        <v>0</v>
      </c>
      <c r="G17" s="118">
        <f>IFERROR(VLOOKUP(B17,'AllFundsBudgetByAccount (not us'!A:H,8,0),0)</f>
        <v>13100</v>
      </c>
      <c r="H17" s="118">
        <f>IFERROR(VLOOKUP(B17,'AllFundsBudgetByAccount (not us'!A:J,10,0),0)</f>
        <v>0</v>
      </c>
      <c r="I17" s="118">
        <f>IFERROR(VLOOKUP(B17,'AllFundsBudgetByAccount (not us'!A:K,11,0),0)</f>
        <v>0</v>
      </c>
      <c r="J17" s="118">
        <f>IFERROR(VLOOKUP(B17,'AllFundsBudgetByAccount (not us'!A:N,14,0),0)</f>
        <v>0</v>
      </c>
      <c r="K17" s="118">
        <f>IFERROR(VLOOKUP(B17,'AllFundsBudgetByAccount (not us'!A:F,6,0),0)</f>
        <v>0</v>
      </c>
      <c r="L17" s="118">
        <f>IFERROR(VLOOKUP(B17,'AllFundsBudgetByAccount (not us'!A:Q,17,0),0)</f>
        <v>0</v>
      </c>
      <c r="M17" s="118">
        <f>IFERROR(VLOOKUP(B17,'AllFundsBudgetByAccount (not us'!A:R,18,0),0)</f>
        <v>0</v>
      </c>
      <c r="N17" s="118">
        <f>IFERROR(VLOOKUP(B17,'AllFundsBudgetByAccount (not us'!A:T,20,0),0)</f>
        <v>13100</v>
      </c>
      <c r="O17" s="118">
        <f>IFERROR(VLOOKUP(B17,'AllFundsBudgetByAccount (not us'!A:G,7,0),0)</f>
        <v>0</v>
      </c>
      <c r="P17" s="118">
        <f>IFERROR(VLOOKUP(B17,'AllFundsBudgetByAccount (not us'!A:I,9,0),0)</f>
        <v>0</v>
      </c>
      <c r="Q17" s="118">
        <f>IFERROR(VLOOKUP(B17,'AllFundsBudgetByAccount (not us'!A:L,12,0),0)</f>
        <v>0</v>
      </c>
      <c r="R17" s="118">
        <f>IFERROR(VLOOKUP(B17,'AllFundsBudgetByAccount (not us'!A:M,13,0),0)</f>
        <v>0</v>
      </c>
      <c r="S17" s="118">
        <f>IFERROR(VLOOKUP(B17,'AllFundsBudgetByAccount (not us'!A:P,16,0),0)</f>
        <v>0</v>
      </c>
      <c r="T17" s="118">
        <f>IFERROR(VLOOKUP(B17,'AllFundsBudgetByAccount (not us'!A:S,19,0),0)</f>
        <v>0</v>
      </c>
      <c r="U17" s="119">
        <f t="shared" si="0"/>
        <v>26200</v>
      </c>
      <c r="V17" s="118">
        <v>33100</v>
      </c>
      <c r="W17" s="118">
        <f t="shared" si="1"/>
        <v>-6900</v>
      </c>
      <c r="X17" s="118">
        <f t="shared" si="2"/>
        <v>-0.20845921450151059</v>
      </c>
      <c r="Y17" s="23"/>
      <c r="Z17" s="4"/>
      <c r="AA17" s="3"/>
    </row>
    <row r="18" spans="1:27" ht="12" customHeight="1" x14ac:dyDescent="0.2">
      <c r="A18" s="3">
        <v>512601</v>
      </c>
      <c r="B18" s="30">
        <v>512601</v>
      </c>
      <c r="C18" s="29" t="s">
        <v>72</v>
      </c>
      <c r="D18" s="118">
        <f>IFERROR(VLOOKUP(B18,'AllFundsBudgetByAccount (not us'!A:C,3,0),0)</f>
        <v>0</v>
      </c>
      <c r="E18" s="118">
        <f>IFERROR(VLOOKUP(B18,'AllFundsBudgetByAccount (not us'!A:D,4,0),0)</f>
        <v>0</v>
      </c>
      <c r="F18" s="118">
        <f>IFERROR(VLOOKUP(B18,'AllFundsBudgetByAccount (not us'!A:E,5,0),0)</f>
        <v>0</v>
      </c>
      <c r="G18" s="118">
        <f>IFERROR(VLOOKUP(B18,'AllFundsBudgetByAccount (not us'!A:H,8,0),0)</f>
        <v>0</v>
      </c>
      <c r="H18" s="118">
        <f>IFERROR(VLOOKUP(B18,'AllFundsBudgetByAccount (not us'!A:J,10,0),0)</f>
        <v>0</v>
      </c>
      <c r="I18" s="118">
        <f>IFERROR(VLOOKUP(B18,'AllFundsBudgetByAccount (not us'!A:K,11,0),0)</f>
        <v>0</v>
      </c>
      <c r="J18" s="118">
        <f>IFERROR(VLOOKUP(B18,'AllFundsBudgetByAccount (not us'!A:N,14,0),0)</f>
        <v>0</v>
      </c>
      <c r="K18" s="118">
        <f>IFERROR(VLOOKUP(B18,'AllFundsBudgetByAccount (not us'!A:F,6,0),0)</f>
        <v>0</v>
      </c>
      <c r="L18" s="118">
        <f>IFERROR(VLOOKUP(B18,'AllFundsBudgetByAccount (not us'!A:Q,17,0),0)</f>
        <v>100000</v>
      </c>
      <c r="M18" s="118">
        <f>IFERROR(VLOOKUP(B18,'AllFundsBudgetByAccount (not us'!A:R,18,0),0)</f>
        <v>0</v>
      </c>
      <c r="N18" s="118">
        <f>IFERROR(VLOOKUP(B18,'AllFundsBudgetByAccount (not us'!A:T,20,0),0)</f>
        <v>100000</v>
      </c>
      <c r="O18" s="118">
        <f>IFERROR(VLOOKUP(B18,'AllFundsBudgetByAccount (not us'!A:G,7,0),0)</f>
        <v>0</v>
      </c>
      <c r="P18" s="118">
        <f>IFERROR(VLOOKUP(B18,'AllFundsBudgetByAccount (not us'!A:I,9,0),0)</f>
        <v>0</v>
      </c>
      <c r="Q18" s="118">
        <f>IFERROR(VLOOKUP(B18,'AllFundsBudgetByAccount (not us'!A:L,12,0),0)</f>
        <v>0</v>
      </c>
      <c r="R18" s="118">
        <f>IFERROR(VLOOKUP(B18,'AllFundsBudgetByAccount (not us'!A:M,13,0),0)</f>
        <v>0</v>
      </c>
      <c r="S18" s="118">
        <f>IFERROR(VLOOKUP(B18,'AllFundsBudgetByAccount (not us'!A:P,16,0),0)</f>
        <v>0</v>
      </c>
      <c r="T18" s="118">
        <f>IFERROR(VLOOKUP(B18,'AllFundsBudgetByAccount (not us'!A:S,19,0),0)</f>
        <v>0</v>
      </c>
      <c r="U18" s="119">
        <f t="shared" si="0"/>
        <v>200000</v>
      </c>
      <c r="V18" s="118">
        <v>100000</v>
      </c>
      <c r="W18" s="118">
        <f t="shared" si="1"/>
        <v>100000</v>
      </c>
      <c r="X18" s="118">
        <f t="shared" si="2"/>
        <v>1</v>
      </c>
      <c r="Y18" s="23"/>
      <c r="Z18" s="4"/>
      <c r="AA18" s="3"/>
    </row>
    <row r="19" spans="1:27" ht="12" hidden="1" customHeight="1" x14ac:dyDescent="0.2">
      <c r="A19" s="3">
        <v>512701</v>
      </c>
      <c r="B19" s="30">
        <v>512701</v>
      </c>
      <c r="C19" s="29" t="s">
        <v>74</v>
      </c>
      <c r="D19" s="118">
        <f>IFERROR(VLOOKUP(B19,'AllFundsBudgetByAccount (not us'!A:C,3,0),0)</f>
        <v>0</v>
      </c>
      <c r="E19" s="118">
        <f>IFERROR(VLOOKUP(B19,'AllFundsBudgetByAccount (not us'!A:D,4,0),0)</f>
        <v>0</v>
      </c>
      <c r="F19" s="118">
        <f>IFERROR(VLOOKUP(B19,'AllFundsBudgetByAccount (not us'!A:E,5,0),0)</f>
        <v>0</v>
      </c>
      <c r="G19" s="118">
        <f>IFERROR(VLOOKUP(B19,'AllFundsBudgetByAccount (not us'!A:H,8,0),0)</f>
        <v>0</v>
      </c>
      <c r="H19" s="118">
        <f>IFERROR(VLOOKUP(B19,'AllFundsBudgetByAccount (not us'!A:J,10,0),0)</f>
        <v>0</v>
      </c>
      <c r="I19" s="118">
        <f>IFERROR(VLOOKUP(B19,'AllFundsBudgetByAccount (not us'!A:K,11,0),0)</f>
        <v>0</v>
      </c>
      <c r="J19" s="118">
        <f>IFERROR(VLOOKUP(B19,'AllFundsBudgetByAccount (not us'!A:N,14,0),0)</f>
        <v>0</v>
      </c>
      <c r="K19" s="118">
        <f>IFERROR(VLOOKUP(B19,'AllFundsBudgetByAccount (not us'!A:F,6,0),0)</f>
        <v>0</v>
      </c>
      <c r="L19" s="118">
        <f>IFERROR(VLOOKUP(B19,'AllFundsBudgetByAccount (not us'!A:Q,17,0),0)</f>
        <v>0</v>
      </c>
      <c r="M19" s="118">
        <f>IFERROR(VLOOKUP(B19,'AllFundsBudgetByAccount (not us'!A:R,18,0),0)</f>
        <v>0</v>
      </c>
      <c r="N19" s="118">
        <f>IFERROR(VLOOKUP(B19,'AllFundsBudgetByAccount (not us'!A:T,20,0),0)</f>
        <v>0</v>
      </c>
      <c r="O19" s="118">
        <f>IFERROR(VLOOKUP(B19,'AllFundsBudgetByAccount (not us'!A:G,7,0),0)</f>
        <v>0</v>
      </c>
      <c r="P19" s="118">
        <f>IFERROR(VLOOKUP(B19,'AllFundsBudgetByAccount (not us'!A:I,9,0),0)</f>
        <v>0</v>
      </c>
      <c r="Q19" s="118">
        <f>IFERROR(VLOOKUP(B19,'AllFundsBudgetByAccount (not us'!A:L,12,0),0)</f>
        <v>0</v>
      </c>
      <c r="R19" s="118">
        <f>IFERROR(VLOOKUP(B19,'AllFundsBudgetByAccount (not us'!A:M,13,0),0)</f>
        <v>0</v>
      </c>
      <c r="S19" s="118">
        <f>IFERROR(VLOOKUP(B19,'AllFundsBudgetByAccount (not us'!A:P,16,0),0)</f>
        <v>0</v>
      </c>
      <c r="T19" s="118">
        <f>IFERROR(VLOOKUP(B19,'AllFundsBudgetByAccount (not us'!A:S,19,0),0)</f>
        <v>0</v>
      </c>
      <c r="U19" s="119">
        <f t="shared" si="0"/>
        <v>0</v>
      </c>
      <c r="V19" s="118">
        <v>0</v>
      </c>
      <c r="W19" s="118">
        <f t="shared" si="1"/>
        <v>0</v>
      </c>
      <c r="X19" s="23">
        <f t="shared" si="2"/>
        <v>1</v>
      </c>
      <c r="Y19" s="23"/>
      <c r="Z19" s="4"/>
      <c r="AA19" s="3"/>
    </row>
    <row r="20" spans="1:27" ht="12" customHeight="1" x14ac:dyDescent="0.2">
      <c r="A20" s="3">
        <v>521101</v>
      </c>
      <c r="B20" s="30">
        <v>521101</v>
      </c>
      <c r="C20" s="29" t="s">
        <v>22</v>
      </c>
      <c r="D20" s="118">
        <f>IFERROR(VLOOKUP(B20,'AllFundsBudgetByAccount (not us'!A:C,3,0),0)</f>
        <v>6100</v>
      </c>
      <c r="E20" s="118">
        <f>IFERROR(VLOOKUP(B20,'AllFundsBudgetByAccount (not us'!A:D,4,0),0)</f>
        <v>15000</v>
      </c>
      <c r="F20" s="118">
        <f>IFERROR(VLOOKUP(B20,'AllFundsBudgetByAccount (not us'!A:E,5,0),0)</f>
        <v>83918</v>
      </c>
      <c r="G20" s="118">
        <f>IFERROR(VLOOKUP(B20,'AllFundsBudgetByAccount (not us'!A:H,8,0),0)</f>
        <v>20000</v>
      </c>
      <c r="H20" s="118">
        <f>IFERROR(VLOOKUP(B20,'AllFundsBudgetByAccount (not us'!A:J,10,0),0)</f>
        <v>2000</v>
      </c>
      <c r="I20" s="118">
        <f>IFERROR(VLOOKUP(B20,'AllFundsBudgetByAccount (not us'!A:K,11,0),0)</f>
        <v>3500</v>
      </c>
      <c r="J20" s="118">
        <f>IFERROR(VLOOKUP(B20,'AllFundsBudgetByAccount (not us'!A:N,14,0),0)</f>
        <v>500</v>
      </c>
      <c r="K20" s="118">
        <f>IFERROR(VLOOKUP(B20,'AllFundsBudgetByAccount (not us'!A:F,6,0),0)</f>
        <v>10500</v>
      </c>
      <c r="L20" s="118">
        <f>IFERROR(VLOOKUP(B20,'AllFundsBudgetByAccount (not us'!A:Q,17,0),0)</f>
        <v>0</v>
      </c>
      <c r="M20" s="118">
        <f>IFERROR(VLOOKUP(B20,'AllFundsBudgetByAccount (not us'!A:R,18,0),0)</f>
        <v>1000</v>
      </c>
      <c r="N20" s="118">
        <f>IFERROR(VLOOKUP(B20,'AllFundsBudgetByAccount (not us'!A:T,20,0),0)</f>
        <v>209070</v>
      </c>
      <c r="O20" s="118">
        <f>IFERROR(VLOOKUP(B20,'AllFundsBudgetByAccount (not us'!A:G,7,0),0)</f>
        <v>34952</v>
      </c>
      <c r="P20" s="118">
        <f>IFERROR(VLOOKUP(B20,'AllFundsBudgetByAccount (not us'!A:I,9,0),0)</f>
        <v>2000</v>
      </c>
      <c r="Q20" s="118">
        <f>IFERROR(VLOOKUP(B20,'AllFundsBudgetByAccount (not us'!A:L,12,0),0)</f>
        <v>10100</v>
      </c>
      <c r="R20" s="118">
        <f>IFERROR(VLOOKUP(B20,'AllFundsBudgetByAccount (not us'!A:M,13,0),0)</f>
        <v>8000</v>
      </c>
      <c r="S20" s="118">
        <f>IFERROR(VLOOKUP(B20,'AllFundsBudgetByAccount (not us'!A:P,16,0),0)</f>
        <v>10500</v>
      </c>
      <c r="T20" s="118">
        <f>IFERROR(VLOOKUP(B20,'AllFundsBudgetByAccount (not us'!A:S,19,0),0)</f>
        <v>500</v>
      </c>
      <c r="U20" s="119">
        <f t="shared" si="0"/>
        <v>417640</v>
      </c>
      <c r="V20" s="118">
        <v>180464</v>
      </c>
      <c r="W20" s="26">
        <f t="shared" si="1"/>
        <v>237176</v>
      </c>
      <c r="X20" s="23">
        <f t="shared" si="2"/>
        <v>1.3142565830304105</v>
      </c>
      <c r="Y20" s="23"/>
      <c r="Z20" s="4"/>
      <c r="AA20" s="3"/>
    </row>
    <row r="21" spans="1:27" ht="12" customHeight="1" x14ac:dyDescent="0.2">
      <c r="A21" s="3">
        <v>521201</v>
      </c>
      <c r="B21" s="30">
        <v>521201</v>
      </c>
      <c r="C21" s="29" t="s">
        <v>38</v>
      </c>
      <c r="D21" s="118">
        <f>IFERROR(VLOOKUP(B21,'AllFundsBudgetByAccount (not us'!A:C,3,0),0)</f>
        <v>0</v>
      </c>
      <c r="E21" s="118">
        <f>IFERROR(VLOOKUP(B21,'AllFundsBudgetByAccount (not us'!A:D,4,0),0)</f>
        <v>35000</v>
      </c>
      <c r="F21" s="118">
        <f>IFERROR(VLOOKUP(B21,'AllFundsBudgetByAccount (not us'!A:E,5,0),0)</f>
        <v>0</v>
      </c>
      <c r="G21" s="118">
        <f>IFERROR(VLOOKUP(B21,'AllFundsBudgetByAccount (not us'!A:H,8,0),0)</f>
        <v>353000</v>
      </c>
      <c r="H21" s="118">
        <f>IFERROR(VLOOKUP(B21,'AllFundsBudgetByAccount (not us'!A:J,10,0),0)</f>
        <v>130000</v>
      </c>
      <c r="I21" s="118">
        <f>IFERROR(VLOOKUP(B21,'AllFundsBudgetByAccount (not us'!A:K,11,0),0)</f>
        <v>0</v>
      </c>
      <c r="J21" s="118">
        <f>IFERROR(VLOOKUP(B21,'AllFundsBudgetByAccount (not us'!A:N,14,0),0)</f>
        <v>0</v>
      </c>
      <c r="K21" s="118">
        <f>IFERROR(VLOOKUP(B21,'AllFundsBudgetByAccount (not us'!A:F,6,0),0)</f>
        <v>50000</v>
      </c>
      <c r="L21" s="118">
        <f>IFERROR(VLOOKUP(B21,'AllFundsBudgetByAccount (not us'!A:Q,17,0),0)</f>
        <v>42000</v>
      </c>
      <c r="M21" s="118">
        <f>IFERROR(VLOOKUP(B21,'AllFundsBudgetByAccount (not us'!A:R,18,0),0)</f>
        <v>43342</v>
      </c>
      <c r="N21" s="118">
        <f>IFERROR(VLOOKUP(B21,'AllFundsBudgetByAccount (not us'!A:T,20,0),0)</f>
        <v>19993906</v>
      </c>
      <c r="O21" s="118">
        <f>IFERROR(VLOOKUP(B21,'AllFundsBudgetByAccount (not us'!A:G,7,0),0)</f>
        <v>15390000</v>
      </c>
      <c r="P21" s="118">
        <f>IFERROR(VLOOKUP(B21,'AllFundsBudgetByAccount (not us'!A:I,9,0),0)</f>
        <v>0</v>
      </c>
      <c r="Q21" s="118">
        <f>IFERROR(VLOOKUP(B21,'AllFundsBudgetByAccount (not us'!A:L,12,0),0)</f>
        <v>700000</v>
      </c>
      <c r="R21" s="118">
        <f>IFERROR(VLOOKUP(B21,'AllFundsBudgetByAccount (not us'!A:M,13,0),0)</f>
        <v>50000</v>
      </c>
      <c r="S21" s="118">
        <f>IFERROR(VLOOKUP(B21,'AllFundsBudgetByAccount (not us'!A:P,16,0),0)</f>
        <v>2507664</v>
      </c>
      <c r="T21" s="118">
        <f>IFERROR(VLOOKUP(B21,'AllFundsBudgetByAccount (not us'!A:S,19,0),0)</f>
        <v>692900</v>
      </c>
      <c r="U21" s="119">
        <f t="shared" si="0"/>
        <v>39987812</v>
      </c>
      <c r="V21" s="118">
        <v>19006006</v>
      </c>
      <c r="W21" s="26">
        <f t="shared" si="1"/>
        <v>20981806</v>
      </c>
      <c r="X21" s="23">
        <f t="shared" si="2"/>
        <v>1.1039566124518745</v>
      </c>
      <c r="Y21" s="23"/>
      <c r="Z21" s="4"/>
      <c r="AA21" s="3"/>
    </row>
    <row r="22" spans="1:27" ht="12" customHeight="1" x14ac:dyDescent="0.2">
      <c r="A22" s="3">
        <v>521202</v>
      </c>
      <c r="B22" s="30">
        <v>521202</v>
      </c>
      <c r="C22" s="29" t="s">
        <v>39</v>
      </c>
      <c r="D22" s="118">
        <f>IFERROR(VLOOKUP(B22,'AllFundsBudgetByAccount (not us'!A:C,3,0),0)</f>
        <v>0</v>
      </c>
      <c r="E22" s="118">
        <f>IFERROR(VLOOKUP(B22,'AllFundsBudgetByAccount (not us'!A:D,4,0),0)</f>
        <v>0</v>
      </c>
      <c r="F22" s="118">
        <f>IFERROR(VLOOKUP(B22,'AllFundsBudgetByAccount (not us'!A:E,5,0),0)</f>
        <v>0</v>
      </c>
      <c r="G22" s="118">
        <f>IFERROR(VLOOKUP(B22,'AllFundsBudgetByAccount (not us'!A:H,8,0),0)</f>
        <v>0</v>
      </c>
      <c r="H22" s="118">
        <f>IFERROR(VLOOKUP(B22,'AllFundsBudgetByAccount (not us'!A:J,10,0),0)</f>
        <v>0</v>
      </c>
      <c r="I22" s="118">
        <f>IFERROR(VLOOKUP(B22,'AllFundsBudgetByAccount (not us'!A:K,11,0),0)</f>
        <v>3690000</v>
      </c>
      <c r="J22" s="118">
        <f>IFERROR(VLOOKUP(B22,'AllFundsBudgetByAccount (not us'!A:N,14,0),0)</f>
        <v>0</v>
      </c>
      <c r="K22" s="118">
        <f>IFERROR(VLOOKUP(B22,'AllFundsBudgetByAccount (not us'!A:F,6,0),0)</f>
        <v>0</v>
      </c>
      <c r="L22" s="118">
        <f>IFERROR(VLOOKUP(B22,'AllFundsBudgetByAccount (not us'!A:Q,17,0),0)</f>
        <v>0</v>
      </c>
      <c r="M22" s="118">
        <f>IFERROR(VLOOKUP(B22,'AllFundsBudgetByAccount (not us'!A:R,18,0),0)</f>
        <v>0</v>
      </c>
      <c r="N22" s="118">
        <f>IFERROR(VLOOKUP(B22,'AllFundsBudgetByAccount (not us'!A:T,20,0),0)</f>
        <v>3690000</v>
      </c>
      <c r="O22" s="118">
        <f>IFERROR(VLOOKUP(B22,'AllFundsBudgetByAccount (not us'!A:G,7,0),0)</f>
        <v>0</v>
      </c>
      <c r="P22" s="118">
        <f>IFERROR(VLOOKUP(B22,'AllFundsBudgetByAccount (not us'!A:I,9,0),0)</f>
        <v>0</v>
      </c>
      <c r="Q22" s="118">
        <f>IFERROR(VLOOKUP(B22,'AllFundsBudgetByAccount (not us'!A:L,12,0),0)</f>
        <v>0</v>
      </c>
      <c r="R22" s="118">
        <f>IFERROR(VLOOKUP(B22,'AllFundsBudgetByAccount (not us'!A:M,13,0),0)</f>
        <v>0</v>
      </c>
      <c r="S22" s="118">
        <f>IFERROR(VLOOKUP(B22,'AllFundsBudgetByAccount (not us'!A:P,16,0),0)</f>
        <v>0</v>
      </c>
      <c r="T22" s="118">
        <f>IFERROR(VLOOKUP(B22,'AllFundsBudgetByAccount (not us'!A:S,19,0),0)</f>
        <v>0</v>
      </c>
      <c r="U22" s="119">
        <f t="shared" si="0"/>
        <v>7380000</v>
      </c>
      <c r="V22" s="118">
        <v>2640000</v>
      </c>
      <c r="W22" s="118">
        <f t="shared" si="1"/>
        <v>4740000</v>
      </c>
      <c r="X22" s="118">
        <f t="shared" si="2"/>
        <v>1.7954545454545454</v>
      </c>
      <c r="Y22" s="23"/>
      <c r="Z22" s="4"/>
      <c r="AA22" s="3"/>
    </row>
    <row r="23" spans="1:27" ht="12" customHeight="1" x14ac:dyDescent="0.2">
      <c r="A23" s="3">
        <v>521203</v>
      </c>
      <c r="B23" s="30">
        <v>521203</v>
      </c>
      <c r="C23" s="29" t="s">
        <v>40</v>
      </c>
      <c r="D23" s="118">
        <f>IFERROR(VLOOKUP(B23,'AllFundsBudgetByAccount (not us'!A:C,3,0),0)</f>
        <v>200000</v>
      </c>
      <c r="E23" s="118">
        <f>IFERROR(VLOOKUP(B23,'AllFundsBudgetByAccount (not us'!A:D,4,0),0)</f>
        <v>0</v>
      </c>
      <c r="F23" s="118">
        <f>IFERROR(VLOOKUP(B23,'AllFundsBudgetByAccount (not us'!A:E,5,0),0)</f>
        <v>0</v>
      </c>
      <c r="G23" s="118">
        <f>IFERROR(VLOOKUP(B23,'AllFundsBudgetByAccount (not us'!A:H,8,0),0)</f>
        <v>0</v>
      </c>
      <c r="H23" s="118">
        <f>IFERROR(VLOOKUP(B23,'AllFundsBudgetByAccount (not us'!A:J,10,0),0)</f>
        <v>0</v>
      </c>
      <c r="I23" s="118">
        <f>IFERROR(VLOOKUP(B23,'AllFundsBudgetByAccount (not us'!A:K,11,0),0)</f>
        <v>0</v>
      </c>
      <c r="J23" s="118">
        <f>IFERROR(VLOOKUP(B23,'AllFundsBudgetByAccount (not us'!A:N,14,0),0)</f>
        <v>0</v>
      </c>
      <c r="K23" s="118">
        <f>IFERROR(VLOOKUP(B23,'AllFundsBudgetByAccount (not us'!A:F,6,0),0)</f>
        <v>0</v>
      </c>
      <c r="L23" s="118">
        <f>IFERROR(VLOOKUP(B23,'AllFundsBudgetByAccount (not us'!A:Q,17,0),0)</f>
        <v>0</v>
      </c>
      <c r="M23" s="118">
        <f>IFERROR(VLOOKUP(B23,'AllFundsBudgetByAccount (not us'!A:R,18,0),0)</f>
        <v>0</v>
      </c>
      <c r="N23" s="118">
        <f>IFERROR(VLOOKUP(B23,'AllFundsBudgetByAccount (not us'!A:T,20,0),0)</f>
        <v>200000</v>
      </c>
      <c r="O23" s="118">
        <f>IFERROR(VLOOKUP(B23,'AllFundsBudgetByAccount (not us'!A:G,7,0),0)</f>
        <v>0</v>
      </c>
      <c r="P23" s="118">
        <f>IFERROR(VLOOKUP(B23,'AllFundsBudgetByAccount (not us'!A:I,9,0),0)</f>
        <v>0</v>
      </c>
      <c r="Q23" s="118">
        <f>IFERROR(VLOOKUP(B23,'AllFundsBudgetByAccount (not us'!A:L,12,0),0)</f>
        <v>0</v>
      </c>
      <c r="R23" s="118">
        <f>IFERROR(VLOOKUP(B23,'AllFundsBudgetByAccount (not us'!A:M,13,0),0)</f>
        <v>0</v>
      </c>
      <c r="S23" s="118">
        <f>IFERROR(VLOOKUP(B23,'AllFundsBudgetByAccount (not us'!A:P,16,0),0)</f>
        <v>0</v>
      </c>
      <c r="T23" s="118">
        <f>IFERROR(VLOOKUP(B23,'AllFundsBudgetByAccount (not us'!A:S,19,0),0)</f>
        <v>0</v>
      </c>
      <c r="U23" s="119">
        <f t="shared" si="0"/>
        <v>400000</v>
      </c>
      <c r="V23" s="118">
        <v>200000</v>
      </c>
      <c r="W23" s="118">
        <f t="shared" si="1"/>
        <v>200000</v>
      </c>
      <c r="X23" s="118">
        <f t="shared" si="2"/>
        <v>1</v>
      </c>
      <c r="Y23" s="23"/>
      <c r="Z23" s="4"/>
      <c r="AA23" s="3"/>
    </row>
    <row r="24" spans="1:27" ht="12" customHeight="1" x14ac:dyDescent="0.2">
      <c r="A24" s="3">
        <v>521204</v>
      </c>
      <c r="B24" s="30">
        <v>521204</v>
      </c>
      <c r="C24" s="29" t="s">
        <v>41</v>
      </c>
      <c r="D24" s="118">
        <f>IFERROR(VLOOKUP(B24,'AllFundsBudgetByAccount (not us'!A:C,3,0),0)</f>
        <v>0</v>
      </c>
      <c r="E24" s="118">
        <f>IFERROR(VLOOKUP(B24,'AllFundsBudgetByAccount (not us'!A:D,4,0),0)</f>
        <v>0</v>
      </c>
      <c r="F24" s="118">
        <f>IFERROR(VLOOKUP(B24,'AllFundsBudgetByAccount (not us'!A:E,5,0),0)</f>
        <v>0</v>
      </c>
      <c r="G24" s="118">
        <f>IFERROR(VLOOKUP(B24,'AllFundsBudgetByAccount (not us'!A:H,8,0),0)</f>
        <v>0</v>
      </c>
      <c r="H24" s="118">
        <f>IFERROR(VLOOKUP(B24,'AllFundsBudgetByAccount (not us'!A:J,10,0),0)</f>
        <v>0</v>
      </c>
      <c r="I24" s="118">
        <f>IFERROR(VLOOKUP(B24,'AllFundsBudgetByAccount (not us'!A:K,11,0),0)</f>
        <v>0</v>
      </c>
      <c r="J24" s="118">
        <f>IFERROR(VLOOKUP(B24,'AllFundsBudgetByAccount (not us'!A:N,14,0),0)</f>
        <v>0</v>
      </c>
      <c r="K24" s="118">
        <f>IFERROR(VLOOKUP(B24,'AllFundsBudgetByAccount (not us'!A:F,6,0),0)</f>
        <v>0</v>
      </c>
      <c r="L24" s="118">
        <f>IFERROR(VLOOKUP(B24,'AllFundsBudgetByAccount (not us'!A:Q,17,0),0)</f>
        <v>0</v>
      </c>
      <c r="M24" s="118">
        <f>IFERROR(VLOOKUP(B24,'AllFundsBudgetByAccount (not us'!A:R,18,0),0)</f>
        <v>0</v>
      </c>
      <c r="N24" s="118">
        <f>IFERROR(VLOOKUP(B24,'AllFundsBudgetByAccount (not us'!A:T,20,0),0)</f>
        <v>75000</v>
      </c>
      <c r="O24" s="118">
        <f>IFERROR(VLOOKUP(B24,'AllFundsBudgetByAccount (not us'!A:G,7,0),0)</f>
        <v>0</v>
      </c>
      <c r="P24" s="118">
        <f>IFERROR(VLOOKUP(B24,'AllFundsBudgetByAccount (not us'!A:I,9,0),0)</f>
        <v>0</v>
      </c>
      <c r="Q24" s="118">
        <f>IFERROR(VLOOKUP(B24,'AllFundsBudgetByAccount (not us'!A:L,12,0),0)</f>
        <v>0</v>
      </c>
      <c r="R24" s="118">
        <f>IFERROR(VLOOKUP(B24,'AllFundsBudgetByAccount (not us'!A:M,13,0),0)</f>
        <v>0</v>
      </c>
      <c r="S24" s="118">
        <f>IFERROR(VLOOKUP(B24,'AllFundsBudgetByAccount (not us'!A:P,16,0),0)</f>
        <v>0</v>
      </c>
      <c r="T24" s="118">
        <f>IFERROR(VLOOKUP(B24,'AllFundsBudgetByAccount (not us'!A:S,19,0),0)</f>
        <v>75000</v>
      </c>
      <c r="U24" s="119">
        <f t="shared" si="0"/>
        <v>150000</v>
      </c>
      <c r="V24" s="118">
        <v>75000</v>
      </c>
      <c r="W24" s="118">
        <f t="shared" si="1"/>
        <v>75000</v>
      </c>
      <c r="X24" s="118">
        <f t="shared" si="2"/>
        <v>1</v>
      </c>
      <c r="Y24" s="23"/>
      <c r="Z24" s="4"/>
      <c r="AA24" s="3"/>
    </row>
    <row r="25" spans="1:27" ht="12" customHeight="1" x14ac:dyDescent="0.2">
      <c r="A25" s="3">
        <v>521205</v>
      </c>
      <c r="B25" s="30">
        <v>521205</v>
      </c>
      <c r="C25" s="29" t="s">
        <v>107</v>
      </c>
      <c r="D25" s="118">
        <f>IFERROR(VLOOKUP(B25,'AllFundsBudgetByAccount (not us'!A:C,3,0),0)</f>
        <v>0</v>
      </c>
      <c r="E25" s="118">
        <f>IFERROR(VLOOKUP(B25,'AllFundsBudgetByAccount (not us'!A:D,4,0),0)</f>
        <v>0</v>
      </c>
      <c r="F25" s="118">
        <f>IFERROR(VLOOKUP(B25,'AllFundsBudgetByAccount (not us'!A:E,5,0),0)</f>
        <v>0</v>
      </c>
      <c r="G25" s="118">
        <f>IFERROR(VLOOKUP(B25,'AllFundsBudgetByAccount (not us'!A:H,8,0),0)</f>
        <v>0</v>
      </c>
      <c r="H25" s="118">
        <f>IFERROR(VLOOKUP(B25,'AllFundsBudgetByAccount (not us'!A:J,10,0),0)</f>
        <v>0</v>
      </c>
      <c r="I25" s="118">
        <f>IFERROR(VLOOKUP(B25,'AllFundsBudgetByAccount (not us'!A:K,11,0),0)</f>
        <v>0</v>
      </c>
      <c r="J25" s="118">
        <f>IFERROR(VLOOKUP(B25,'AllFundsBudgetByAccount (not us'!A:N,14,0),0)</f>
        <v>0</v>
      </c>
      <c r="K25" s="118">
        <f>IFERROR(VLOOKUP(B25,'AllFundsBudgetByAccount (not us'!A:F,6,0),0)</f>
        <v>0</v>
      </c>
      <c r="L25" s="118">
        <f>IFERROR(VLOOKUP(B25,'AllFundsBudgetByAccount (not us'!A:Q,17,0),0)</f>
        <v>0</v>
      </c>
      <c r="M25" s="118">
        <f>IFERROR(VLOOKUP(B25,'AllFundsBudgetByAccount (not us'!A:R,18,0),0)</f>
        <v>0</v>
      </c>
      <c r="N25" s="118">
        <f>IFERROR(VLOOKUP(B25,'AllFundsBudgetByAccount (not us'!A:T,20,0),0)</f>
        <v>91000</v>
      </c>
      <c r="O25" s="118">
        <f>IFERROR(VLOOKUP(B25,'AllFundsBudgetByAccount (not us'!A:G,7,0),0)</f>
        <v>0</v>
      </c>
      <c r="P25" s="118">
        <f>IFERROR(VLOOKUP(B25,'AllFundsBudgetByAccount (not us'!A:I,9,0),0)</f>
        <v>0</v>
      </c>
      <c r="Q25" s="118">
        <f>IFERROR(VLOOKUP(B25,'AllFundsBudgetByAccount (not us'!A:L,12,0),0)</f>
        <v>0</v>
      </c>
      <c r="R25" s="118">
        <f>IFERROR(VLOOKUP(B25,'AllFundsBudgetByAccount (not us'!A:M,13,0),0)</f>
        <v>0</v>
      </c>
      <c r="S25" s="118">
        <f>IFERROR(VLOOKUP(B25,'AllFundsBudgetByAccount (not us'!A:P,16,0),0)</f>
        <v>0</v>
      </c>
      <c r="T25" s="118">
        <f>IFERROR(VLOOKUP(B25,'AllFundsBudgetByAccount (not us'!A:S,19,0),0)</f>
        <v>91000</v>
      </c>
      <c r="U25" s="119">
        <f t="shared" si="0"/>
        <v>182000</v>
      </c>
      <c r="V25" s="118">
        <v>91000</v>
      </c>
      <c r="W25" s="118">
        <f t="shared" si="1"/>
        <v>91000</v>
      </c>
      <c r="X25" s="118">
        <f t="shared" si="2"/>
        <v>1</v>
      </c>
      <c r="Y25" s="23"/>
      <c r="Z25" s="4"/>
      <c r="AA25" s="3"/>
    </row>
    <row r="26" spans="1:27" ht="12" customHeight="1" x14ac:dyDescent="0.2">
      <c r="A26" s="3">
        <v>521207</v>
      </c>
      <c r="B26" s="30">
        <v>521207</v>
      </c>
      <c r="C26" s="29" t="s">
        <v>42</v>
      </c>
      <c r="D26" s="118">
        <f>IFERROR(VLOOKUP(B26,'AllFundsBudgetByAccount (not us'!A:C,3,0),0)</f>
        <v>0</v>
      </c>
      <c r="E26" s="118">
        <f>IFERROR(VLOOKUP(B26,'AllFundsBudgetByAccount (not us'!A:D,4,0),0)</f>
        <v>0</v>
      </c>
      <c r="F26" s="118">
        <f>IFERROR(VLOOKUP(B26,'AllFundsBudgetByAccount (not us'!A:E,5,0),0)</f>
        <v>0</v>
      </c>
      <c r="G26" s="118">
        <f>IFERROR(VLOOKUP(B26,'AllFundsBudgetByAccount (not us'!A:H,8,0),0)</f>
        <v>0</v>
      </c>
      <c r="H26" s="118">
        <f>IFERROR(VLOOKUP(B26,'AllFundsBudgetByAccount (not us'!A:J,10,0),0)</f>
        <v>0</v>
      </c>
      <c r="I26" s="118">
        <f>IFERROR(VLOOKUP(B26,'AllFundsBudgetByAccount (not us'!A:K,11,0),0)</f>
        <v>0</v>
      </c>
      <c r="J26" s="118">
        <f>IFERROR(VLOOKUP(B26,'AllFundsBudgetByAccount (not us'!A:N,14,0),0)</f>
        <v>0</v>
      </c>
      <c r="K26" s="118">
        <f>IFERROR(VLOOKUP(B26,'AllFundsBudgetByAccount (not us'!A:F,6,0),0)</f>
        <v>0</v>
      </c>
      <c r="L26" s="118">
        <f>IFERROR(VLOOKUP(B26,'AllFundsBudgetByAccount (not us'!A:Q,17,0),0)</f>
        <v>0</v>
      </c>
      <c r="M26" s="118">
        <f>IFERROR(VLOOKUP(B26,'AllFundsBudgetByAccount (not us'!A:R,18,0),0)</f>
        <v>450000</v>
      </c>
      <c r="N26" s="118">
        <f>IFERROR(VLOOKUP(B26,'AllFundsBudgetByAccount (not us'!A:T,20,0),0)</f>
        <v>1100000</v>
      </c>
      <c r="O26" s="118">
        <f>IFERROR(VLOOKUP(B26,'AllFundsBudgetByAccount (not us'!A:G,7,0),0)</f>
        <v>0</v>
      </c>
      <c r="P26" s="118">
        <f>IFERROR(VLOOKUP(B26,'AllFundsBudgetByAccount (not us'!A:I,9,0),0)</f>
        <v>0</v>
      </c>
      <c r="Q26" s="118">
        <f>IFERROR(VLOOKUP(B26,'AllFundsBudgetByAccount (not us'!A:L,12,0),0)</f>
        <v>0</v>
      </c>
      <c r="R26" s="118">
        <f>IFERROR(VLOOKUP(B26,'AllFundsBudgetByAccount (not us'!A:M,13,0),0)</f>
        <v>0</v>
      </c>
      <c r="S26" s="118">
        <f>IFERROR(VLOOKUP(B26,'AllFundsBudgetByAccount (not us'!A:P,16,0),0)</f>
        <v>0</v>
      </c>
      <c r="T26" s="118">
        <f>IFERROR(VLOOKUP(B26,'AllFundsBudgetByAccount (not us'!A:S,19,0),0)</f>
        <v>650000</v>
      </c>
      <c r="U26" s="119">
        <f t="shared" si="0"/>
        <v>2200000</v>
      </c>
      <c r="V26" s="118">
        <v>1255000</v>
      </c>
      <c r="W26" s="26">
        <f t="shared" si="1"/>
        <v>945000</v>
      </c>
      <c r="X26" s="23">
        <f t="shared" si="2"/>
        <v>0.75298804780876494</v>
      </c>
      <c r="Y26" s="23"/>
      <c r="Z26" s="4"/>
      <c r="AA26" s="3"/>
    </row>
    <row r="27" spans="1:27" ht="12" customHeight="1" x14ac:dyDescent="0.2">
      <c r="A27" s="3">
        <v>521208</v>
      </c>
      <c r="B27" s="30">
        <v>521208</v>
      </c>
      <c r="C27" s="29" t="s">
        <v>43</v>
      </c>
      <c r="D27" s="118">
        <f>IFERROR(VLOOKUP(B27,'AllFundsBudgetByAccount (not us'!A:C,3,0),0)</f>
        <v>0</v>
      </c>
      <c r="E27" s="118">
        <f>IFERROR(VLOOKUP(B27,'AllFundsBudgetByAccount (not us'!A:D,4,0),0)</f>
        <v>0</v>
      </c>
      <c r="F27" s="118">
        <f>IFERROR(VLOOKUP(B27,'AllFundsBudgetByAccount (not us'!A:E,5,0),0)</f>
        <v>0</v>
      </c>
      <c r="G27" s="118">
        <f>IFERROR(VLOOKUP(B27,'AllFundsBudgetByAccount (not us'!A:H,8,0),0)</f>
        <v>0</v>
      </c>
      <c r="H27" s="118">
        <f>IFERROR(VLOOKUP(B27,'AllFundsBudgetByAccount (not us'!A:J,10,0),0)</f>
        <v>0</v>
      </c>
      <c r="I27" s="118">
        <f>IFERROR(VLOOKUP(B27,'AllFundsBudgetByAccount (not us'!A:K,11,0),0)</f>
        <v>0</v>
      </c>
      <c r="J27" s="118">
        <f>IFERROR(VLOOKUP(B27,'AllFundsBudgetByAccount (not us'!A:N,14,0),0)</f>
        <v>0</v>
      </c>
      <c r="K27" s="118">
        <f>IFERROR(VLOOKUP(B27,'AllFundsBudgetByAccount (not us'!A:F,6,0),0)</f>
        <v>0</v>
      </c>
      <c r="L27" s="118">
        <f>IFERROR(VLOOKUP(B27,'AllFundsBudgetByAccount (not us'!A:Q,17,0),0)</f>
        <v>0</v>
      </c>
      <c r="M27" s="118">
        <f>IFERROR(VLOOKUP(B27,'AllFundsBudgetByAccount (not us'!A:R,18,0),0)</f>
        <v>17741555</v>
      </c>
      <c r="N27" s="118">
        <f>IFERROR(VLOOKUP(B27,'AllFundsBudgetByAccount (not us'!A:T,20,0),0)</f>
        <v>17741555</v>
      </c>
      <c r="O27" s="118">
        <f>IFERROR(VLOOKUP(B27,'AllFundsBudgetByAccount (not us'!A:G,7,0),0)</f>
        <v>0</v>
      </c>
      <c r="P27" s="118">
        <f>IFERROR(VLOOKUP(B27,'AllFundsBudgetByAccount (not us'!A:I,9,0),0)</f>
        <v>0</v>
      </c>
      <c r="Q27" s="118">
        <f>IFERROR(VLOOKUP(B27,'AllFundsBudgetByAccount (not us'!A:L,12,0),0)</f>
        <v>0</v>
      </c>
      <c r="R27" s="118">
        <f>IFERROR(VLOOKUP(B27,'AllFundsBudgetByAccount (not us'!A:M,13,0),0)</f>
        <v>0</v>
      </c>
      <c r="S27" s="118">
        <f>IFERROR(VLOOKUP(B27,'AllFundsBudgetByAccount (not us'!A:P,16,0),0)</f>
        <v>0</v>
      </c>
      <c r="T27" s="118">
        <f>IFERROR(VLOOKUP(B27,'AllFundsBudgetByAccount (not us'!A:S,19,0),0)</f>
        <v>0</v>
      </c>
      <c r="U27" s="119">
        <f t="shared" si="0"/>
        <v>35483110</v>
      </c>
      <c r="V27" s="118">
        <v>16402810</v>
      </c>
      <c r="W27" s="26">
        <f t="shared" si="1"/>
        <v>19080300</v>
      </c>
      <c r="X27" s="23">
        <f t="shared" si="2"/>
        <v>1.1632336166790933</v>
      </c>
      <c r="Y27" s="23"/>
      <c r="Z27" s="4"/>
      <c r="AA27" s="3"/>
    </row>
    <row r="28" spans="1:27" ht="12" customHeight="1" x14ac:dyDescent="0.2">
      <c r="A28" s="3">
        <v>521209</v>
      </c>
      <c r="B28" s="30">
        <v>521209</v>
      </c>
      <c r="C28" s="29" t="s">
        <v>44</v>
      </c>
      <c r="D28" s="118">
        <f>IFERROR(VLOOKUP(B28,'AllFundsBudgetByAccount (not us'!A:C,3,0),0)</f>
        <v>0</v>
      </c>
      <c r="E28" s="118">
        <f>IFERROR(VLOOKUP(B28,'AllFundsBudgetByAccount (not us'!A:D,4,0),0)</f>
        <v>0</v>
      </c>
      <c r="F28" s="118">
        <f>IFERROR(VLOOKUP(B28,'AllFundsBudgetByAccount (not us'!A:E,5,0),0)</f>
        <v>0</v>
      </c>
      <c r="G28" s="118">
        <f>IFERROR(VLOOKUP(B28,'AllFundsBudgetByAccount (not us'!A:H,8,0),0)</f>
        <v>0</v>
      </c>
      <c r="H28" s="118">
        <f>IFERROR(VLOOKUP(B28,'AllFundsBudgetByAccount (not us'!A:J,10,0),0)</f>
        <v>0</v>
      </c>
      <c r="I28" s="118">
        <f>IFERROR(VLOOKUP(B28,'AllFundsBudgetByAccount (not us'!A:K,11,0),0)</f>
        <v>0</v>
      </c>
      <c r="J28" s="118">
        <f>IFERROR(VLOOKUP(B28,'AllFundsBudgetByAccount (not us'!A:N,14,0),0)</f>
        <v>0</v>
      </c>
      <c r="K28" s="118">
        <f>IFERROR(VLOOKUP(B28,'AllFundsBudgetByAccount (not us'!A:F,6,0),0)</f>
        <v>0</v>
      </c>
      <c r="L28" s="118">
        <f>IFERROR(VLOOKUP(B28,'AllFundsBudgetByAccount (not us'!A:Q,17,0),0)</f>
        <v>0</v>
      </c>
      <c r="M28" s="118">
        <f>IFERROR(VLOOKUP(B28,'AllFundsBudgetByAccount (not us'!A:R,18,0),0)</f>
        <v>0</v>
      </c>
      <c r="N28" s="118">
        <f>IFERROR(VLOOKUP(B28,'AllFundsBudgetByAccount (not us'!A:T,20,0),0)</f>
        <v>68400</v>
      </c>
      <c r="O28" s="118">
        <f>IFERROR(VLOOKUP(B28,'AllFundsBudgetByAccount (not us'!A:G,7,0),0)</f>
        <v>68400</v>
      </c>
      <c r="P28" s="118">
        <f>IFERROR(VLOOKUP(B28,'AllFundsBudgetByAccount (not us'!A:I,9,0),0)</f>
        <v>0</v>
      </c>
      <c r="Q28" s="118">
        <f>IFERROR(VLOOKUP(B28,'AllFundsBudgetByAccount (not us'!A:L,12,0),0)</f>
        <v>0</v>
      </c>
      <c r="R28" s="118">
        <f>IFERROR(VLOOKUP(B28,'AllFundsBudgetByAccount (not us'!A:M,13,0),0)</f>
        <v>0</v>
      </c>
      <c r="S28" s="118">
        <f>IFERROR(VLOOKUP(B28,'AllFundsBudgetByAccount (not us'!A:P,16,0),0)</f>
        <v>0</v>
      </c>
      <c r="T28" s="118">
        <f>IFERROR(VLOOKUP(B28,'AllFundsBudgetByAccount (not us'!A:S,19,0),0)</f>
        <v>0</v>
      </c>
      <c r="U28" s="119">
        <f t="shared" si="0"/>
        <v>136800</v>
      </c>
      <c r="V28" s="118">
        <v>50150</v>
      </c>
      <c r="W28" s="26">
        <f t="shared" si="1"/>
        <v>86650</v>
      </c>
      <c r="X28" s="23">
        <f t="shared" si="2"/>
        <v>1.7278165503489531</v>
      </c>
      <c r="Y28" s="23"/>
      <c r="Z28" s="4"/>
      <c r="AA28" s="3"/>
    </row>
    <row r="29" spans="1:27" ht="12" customHeight="1" x14ac:dyDescent="0.2">
      <c r="A29" s="3">
        <v>521212</v>
      </c>
      <c r="B29" s="30">
        <v>521212</v>
      </c>
      <c r="C29" s="29" t="s">
        <v>45</v>
      </c>
      <c r="D29" s="118">
        <f>IFERROR(VLOOKUP(B29,'AllFundsBudgetByAccount (not us'!A:C,3,0),0)</f>
        <v>0</v>
      </c>
      <c r="E29" s="118">
        <f>IFERROR(VLOOKUP(B29,'AllFundsBudgetByAccount (not us'!A:D,4,0),0)</f>
        <v>0</v>
      </c>
      <c r="F29" s="118">
        <f>IFERROR(VLOOKUP(B29,'AllFundsBudgetByAccount (not us'!A:E,5,0),0)</f>
        <v>0</v>
      </c>
      <c r="G29" s="118">
        <f>IFERROR(VLOOKUP(B29,'AllFundsBudgetByAccount (not us'!A:H,8,0),0)</f>
        <v>0</v>
      </c>
      <c r="H29" s="118">
        <f>IFERROR(VLOOKUP(B29,'AllFundsBudgetByAccount (not us'!A:J,10,0),0)</f>
        <v>0</v>
      </c>
      <c r="I29" s="118">
        <f>IFERROR(VLOOKUP(B29,'AllFundsBudgetByAccount (not us'!A:K,11,0),0)</f>
        <v>0</v>
      </c>
      <c r="J29" s="118">
        <f>IFERROR(VLOOKUP(B29,'AllFundsBudgetByAccount (not us'!A:N,14,0),0)</f>
        <v>0</v>
      </c>
      <c r="K29" s="118">
        <f>IFERROR(VLOOKUP(B29,'AllFundsBudgetByAccount (not us'!A:F,6,0),0)</f>
        <v>0</v>
      </c>
      <c r="L29" s="118">
        <f>IFERROR(VLOOKUP(B29,'AllFundsBudgetByAccount (not us'!A:Q,17,0),0)</f>
        <v>0</v>
      </c>
      <c r="M29" s="118">
        <f>IFERROR(VLOOKUP(B29,'AllFundsBudgetByAccount (not us'!A:R,18,0),0)</f>
        <v>114500</v>
      </c>
      <c r="N29" s="118">
        <f>IFERROR(VLOOKUP(B29,'AllFundsBudgetByAccount (not us'!A:T,20,0),0)</f>
        <v>48519757.100000001</v>
      </c>
      <c r="O29" s="118">
        <f>IFERROR(VLOOKUP(B29,'AllFundsBudgetByAccount (not us'!A:G,7,0),0)</f>
        <v>0</v>
      </c>
      <c r="P29" s="118">
        <f>IFERROR(VLOOKUP(B29,'AllFundsBudgetByAccount (not us'!A:I,9,0),0)</f>
        <v>11412338</v>
      </c>
      <c r="Q29" s="118">
        <f>IFERROR(VLOOKUP(B29,'AllFundsBudgetByAccount (not us'!A:L,12,0),0)</f>
        <v>36992919.100000001</v>
      </c>
      <c r="R29" s="118">
        <f>IFERROR(VLOOKUP(B29,'AllFundsBudgetByAccount (not us'!A:M,13,0),0)</f>
        <v>0</v>
      </c>
      <c r="S29" s="118">
        <f>IFERROR(VLOOKUP(B29,'AllFundsBudgetByAccount (not us'!A:P,16,0),0)</f>
        <v>0</v>
      </c>
      <c r="T29" s="118">
        <f>IFERROR(VLOOKUP(B29,'AllFundsBudgetByAccount (not us'!A:S,19,0),0)</f>
        <v>0</v>
      </c>
      <c r="U29" s="119">
        <f t="shared" si="0"/>
        <v>97039514.200000003</v>
      </c>
      <c r="V29" s="118">
        <v>45921184</v>
      </c>
      <c r="W29" s="26">
        <f t="shared" si="1"/>
        <v>51118330.200000003</v>
      </c>
      <c r="X29" s="23">
        <f t="shared" si="2"/>
        <v>1.1131753527957817</v>
      </c>
      <c r="Y29" s="23"/>
      <c r="Z29" s="4"/>
      <c r="AA29" s="3"/>
    </row>
    <row r="30" spans="1:27" ht="12" customHeight="1" x14ac:dyDescent="0.2">
      <c r="A30" s="3">
        <v>521213</v>
      </c>
      <c r="B30" s="30">
        <v>521213</v>
      </c>
      <c r="C30" s="29" t="s">
        <v>106</v>
      </c>
      <c r="D30" s="118">
        <f>IFERROR(VLOOKUP(B30,'AllFundsBudgetByAccount (not us'!A:C,3,0),0)</f>
        <v>0</v>
      </c>
      <c r="E30" s="118">
        <f>IFERROR(VLOOKUP(B30,'AllFundsBudgetByAccount (not us'!A:D,4,0),0)</f>
        <v>0</v>
      </c>
      <c r="F30" s="118">
        <f>IFERROR(VLOOKUP(B30,'AllFundsBudgetByAccount (not us'!A:E,5,0),0)</f>
        <v>0</v>
      </c>
      <c r="G30" s="118">
        <f>IFERROR(VLOOKUP(B30,'AllFundsBudgetByAccount (not us'!A:H,8,0),0)</f>
        <v>0</v>
      </c>
      <c r="H30" s="118">
        <f>IFERROR(VLOOKUP(B30,'AllFundsBudgetByAccount (not us'!A:J,10,0),0)</f>
        <v>0</v>
      </c>
      <c r="I30" s="118">
        <f>IFERROR(VLOOKUP(B30,'AllFundsBudgetByAccount (not us'!A:K,11,0),0)</f>
        <v>0</v>
      </c>
      <c r="J30" s="118">
        <f>IFERROR(VLOOKUP(B30,'AllFundsBudgetByAccount (not us'!A:N,14,0),0)</f>
        <v>0</v>
      </c>
      <c r="K30" s="118">
        <f>IFERROR(VLOOKUP(B30,'AllFundsBudgetByAccount (not us'!A:F,6,0),0)</f>
        <v>0</v>
      </c>
      <c r="L30" s="118">
        <f>IFERROR(VLOOKUP(B30,'AllFundsBudgetByAccount (not us'!A:Q,17,0),0)</f>
        <v>0</v>
      </c>
      <c r="M30" s="118">
        <f>IFERROR(VLOOKUP(B30,'AllFundsBudgetByAccount (not us'!A:R,18,0),0)</f>
        <v>0</v>
      </c>
      <c r="N30" s="118">
        <f>IFERROR(VLOOKUP(B30,'AllFundsBudgetByAccount (not us'!A:T,20,0),0)</f>
        <v>27400437</v>
      </c>
      <c r="O30" s="118">
        <f>IFERROR(VLOOKUP(B30,'AllFundsBudgetByAccount (not us'!A:G,7,0),0)</f>
        <v>0</v>
      </c>
      <c r="P30" s="118">
        <f>IFERROR(VLOOKUP(B30,'AllFundsBudgetByAccount (not us'!A:I,9,0),0)</f>
        <v>0</v>
      </c>
      <c r="Q30" s="118">
        <f>IFERROR(VLOOKUP(B30,'AllFundsBudgetByAccount (not us'!A:L,12,0),0)</f>
        <v>0</v>
      </c>
      <c r="R30" s="118">
        <f>IFERROR(VLOOKUP(B30,'AllFundsBudgetByAccount (not us'!A:M,13,0),0)</f>
        <v>0</v>
      </c>
      <c r="S30" s="118">
        <f>IFERROR(VLOOKUP(B30,'AllFundsBudgetByAccount (not us'!A:P,16,0),0)</f>
        <v>0</v>
      </c>
      <c r="T30" s="118">
        <f>IFERROR(VLOOKUP(B30,'AllFundsBudgetByAccount (not us'!A:S,19,0),0)</f>
        <v>0</v>
      </c>
      <c r="U30" s="119">
        <f t="shared" si="0"/>
        <v>27400437</v>
      </c>
      <c r="V30" s="118">
        <v>28124877</v>
      </c>
      <c r="W30" s="26">
        <f t="shared" si="1"/>
        <v>-724440</v>
      </c>
      <c r="X30" s="23">
        <f t="shared" si="2"/>
        <v>-2.5757979314896203E-2</v>
      </c>
      <c r="Y30" s="23"/>
      <c r="Z30" s="4"/>
      <c r="AA30" s="3"/>
    </row>
    <row r="31" spans="1:27" ht="12" customHeight="1" x14ac:dyDescent="0.2">
      <c r="A31" s="3">
        <v>521301</v>
      </c>
      <c r="B31" s="30">
        <v>521301</v>
      </c>
      <c r="C31" s="29" t="s">
        <v>105</v>
      </c>
      <c r="D31" s="118">
        <f>IFERROR(VLOOKUP(B31,'AllFundsBudgetByAccount (not us'!A:C,3,0),0)</f>
        <v>0</v>
      </c>
      <c r="E31" s="118">
        <f>IFERROR(VLOOKUP(B31,'AllFundsBudgetByAccount (not us'!A:D,4,0),0)</f>
        <v>0</v>
      </c>
      <c r="F31" s="118">
        <f>IFERROR(VLOOKUP(B31,'AllFundsBudgetByAccount (not us'!A:E,5,0),0)</f>
        <v>0</v>
      </c>
      <c r="G31" s="118">
        <f>IFERROR(VLOOKUP(B31,'AllFundsBudgetByAccount (not us'!A:H,8,0),0)</f>
        <v>0</v>
      </c>
      <c r="H31" s="118">
        <f>IFERROR(VLOOKUP(B31,'AllFundsBudgetByAccount (not us'!A:J,10,0),0)</f>
        <v>0</v>
      </c>
      <c r="I31" s="118">
        <f>IFERROR(VLOOKUP(B31,'AllFundsBudgetByAccount (not us'!A:K,11,0),0)</f>
        <v>0</v>
      </c>
      <c r="J31" s="118">
        <f>IFERROR(VLOOKUP(B31,'AllFundsBudgetByAccount (not us'!A:N,14,0),0)</f>
        <v>0</v>
      </c>
      <c r="K31" s="118">
        <f>IFERROR(VLOOKUP(B31,'AllFundsBudgetByAccount (not us'!A:F,6,0),0)</f>
        <v>0</v>
      </c>
      <c r="L31" s="118">
        <f>IFERROR(VLOOKUP(B31,'AllFundsBudgetByAccount (not us'!A:Q,17,0),0)</f>
        <v>0</v>
      </c>
      <c r="M31" s="118">
        <f>IFERROR(VLOOKUP(B31,'AllFundsBudgetByAccount (not us'!A:R,18,0),0)</f>
        <v>0</v>
      </c>
      <c r="N31" s="118">
        <f>IFERROR(VLOOKUP(B31,'AllFundsBudgetByAccount (not us'!A:T,20,0),0)</f>
        <v>34860713</v>
      </c>
      <c r="O31" s="118">
        <f>IFERROR(VLOOKUP(B31,'AllFundsBudgetByAccount (not us'!A:G,7,0),0)</f>
        <v>0</v>
      </c>
      <c r="P31" s="118">
        <f>IFERROR(VLOOKUP(B31,'AllFundsBudgetByAccount (not us'!A:I,9,0),0)</f>
        <v>31132670</v>
      </c>
      <c r="Q31" s="118">
        <f>IFERROR(VLOOKUP(B31,'AllFundsBudgetByAccount (not us'!A:L,12,0),0)</f>
        <v>0</v>
      </c>
      <c r="R31" s="118">
        <f>IFERROR(VLOOKUP(B31,'AllFundsBudgetByAccount (not us'!A:M,13,0),0)</f>
        <v>0</v>
      </c>
      <c r="S31" s="118">
        <f>IFERROR(VLOOKUP(B31,'AllFundsBudgetByAccount (not us'!A:P,16,0),0)</f>
        <v>0</v>
      </c>
      <c r="T31" s="118">
        <f>IFERROR(VLOOKUP(B31,'AllFundsBudgetByAccount (not us'!A:S,19,0),0)</f>
        <v>0</v>
      </c>
      <c r="U31" s="119">
        <f t="shared" si="0"/>
        <v>65993383</v>
      </c>
      <c r="V31" s="118">
        <v>33822261</v>
      </c>
      <c r="W31" s="26">
        <f t="shared" si="1"/>
        <v>32171122</v>
      </c>
      <c r="X31" s="23">
        <f t="shared" si="2"/>
        <v>0.95118188580000607</v>
      </c>
      <c r="Y31" s="23"/>
      <c r="Z31" s="4"/>
      <c r="AA31" s="3"/>
    </row>
    <row r="32" spans="1:27" ht="12" customHeight="1" x14ac:dyDescent="0.2">
      <c r="B32" s="30">
        <v>522201</v>
      </c>
      <c r="C32" s="29" t="s">
        <v>104</v>
      </c>
      <c r="D32" s="118">
        <f>IFERROR(VLOOKUP(B32,'AllFundsBudgetByAccount (not us'!A:C,3,0),0)</f>
        <v>0</v>
      </c>
      <c r="E32" s="118">
        <f>IFERROR(VLOOKUP(B32,'AllFundsBudgetByAccount (not us'!A:D,4,0),0)</f>
        <v>0</v>
      </c>
      <c r="F32" s="118">
        <f>IFERROR(VLOOKUP(B32,'AllFundsBudgetByAccount (not us'!A:E,5,0),0)</f>
        <v>0</v>
      </c>
      <c r="G32" s="118">
        <f>IFERROR(VLOOKUP(B32,'AllFundsBudgetByAccount (not us'!A:H,8,0),0)</f>
        <v>0</v>
      </c>
      <c r="H32" s="118">
        <f>IFERROR(VLOOKUP(B32,'AllFundsBudgetByAccount (not us'!A:J,10,0),0)</f>
        <v>0</v>
      </c>
      <c r="I32" s="118">
        <f>IFERROR(VLOOKUP(B32,'AllFundsBudgetByAccount (not us'!A:K,11,0),0)</f>
        <v>0</v>
      </c>
      <c r="J32" s="118">
        <f>IFERROR(VLOOKUP(B32,'AllFundsBudgetByAccount (not us'!A:N,14,0),0)</f>
        <v>0</v>
      </c>
      <c r="K32" s="118">
        <f>IFERROR(VLOOKUP(B32,'AllFundsBudgetByAccount (not us'!A:F,6,0),0)</f>
        <v>0</v>
      </c>
      <c r="L32" s="118">
        <f>IFERROR(VLOOKUP(B32,'AllFundsBudgetByAccount (not us'!A:Q,17,0),0)</f>
        <v>0</v>
      </c>
      <c r="M32" s="118">
        <f>IFERROR(VLOOKUP(B32,'AllFundsBudgetByAccount (not us'!A:R,18,0),0)</f>
        <v>0</v>
      </c>
      <c r="N32" s="118">
        <f>IFERROR(VLOOKUP(B32,'AllFundsBudgetByAccount (not us'!A:T,20,0),0)</f>
        <v>715000</v>
      </c>
      <c r="O32" s="118">
        <f>IFERROR(VLOOKUP(B32,'AllFundsBudgetByAccount (not us'!A:G,7,0),0)</f>
        <v>0</v>
      </c>
      <c r="P32" s="118">
        <f>IFERROR(VLOOKUP(B32,'AllFundsBudgetByAccount (not us'!A:I,9,0),0)</f>
        <v>0</v>
      </c>
      <c r="Q32" s="118">
        <f>IFERROR(VLOOKUP(B32,'AllFundsBudgetByAccount (not us'!A:L,12,0),0)</f>
        <v>715000</v>
      </c>
      <c r="R32" s="118">
        <f>IFERROR(VLOOKUP(B32,'AllFundsBudgetByAccount (not us'!A:M,13,0),0)</f>
        <v>0</v>
      </c>
      <c r="S32" s="118">
        <f>IFERROR(VLOOKUP(B32,'AllFundsBudgetByAccount (not us'!A:P,16,0),0)</f>
        <v>0</v>
      </c>
      <c r="T32" s="118">
        <f>IFERROR(VLOOKUP(B32,'AllFundsBudgetByAccount (not us'!A:S,19,0),0)</f>
        <v>0</v>
      </c>
      <c r="U32" s="119">
        <f t="shared" si="0"/>
        <v>1430000</v>
      </c>
      <c r="V32" s="118">
        <v>700000</v>
      </c>
      <c r="W32" s="26">
        <f t="shared" si="1"/>
        <v>730000</v>
      </c>
      <c r="X32" s="23">
        <f t="shared" si="2"/>
        <v>1.0428571428571429</v>
      </c>
      <c r="Y32" s="23"/>
      <c r="Z32" s="4"/>
      <c r="AA32" s="3"/>
    </row>
    <row r="33" spans="1:27" ht="12" customHeight="1" x14ac:dyDescent="0.2">
      <c r="A33" s="3">
        <v>522202</v>
      </c>
      <c r="B33" s="30">
        <v>522202</v>
      </c>
      <c r="C33" s="29" t="s">
        <v>47</v>
      </c>
      <c r="D33" s="118">
        <f>IFERROR(VLOOKUP(B33,'AllFundsBudgetByAccount (not us'!A:C,3,0),0)</f>
        <v>0</v>
      </c>
      <c r="E33" s="118">
        <f>IFERROR(VLOOKUP(B33,'AllFundsBudgetByAccount (not us'!A:D,4,0),0)</f>
        <v>0</v>
      </c>
      <c r="F33" s="118">
        <f>IFERROR(VLOOKUP(B33,'AllFundsBudgetByAccount (not us'!A:E,5,0),0)</f>
        <v>0</v>
      </c>
      <c r="G33" s="118">
        <f>IFERROR(VLOOKUP(B33,'AllFundsBudgetByAccount (not us'!A:H,8,0),0)</f>
        <v>0</v>
      </c>
      <c r="H33" s="118">
        <f>IFERROR(VLOOKUP(B33,'AllFundsBudgetByAccount (not us'!A:J,10,0),0)</f>
        <v>0</v>
      </c>
      <c r="I33" s="118">
        <f>IFERROR(VLOOKUP(B33,'AllFundsBudgetByAccount (not us'!A:K,11,0),0)</f>
        <v>0</v>
      </c>
      <c r="J33" s="118">
        <f>IFERROR(VLOOKUP(B33,'AllFundsBudgetByAccount (not us'!A:N,14,0),0)</f>
        <v>0</v>
      </c>
      <c r="K33" s="118">
        <f>IFERROR(VLOOKUP(B33,'AllFundsBudgetByAccount (not us'!A:F,6,0),0)</f>
        <v>0</v>
      </c>
      <c r="L33" s="118">
        <f>IFERROR(VLOOKUP(B33,'AllFundsBudgetByAccount (not us'!A:Q,17,0),0)</f>
        <v>0</v>
      </c>
      <c r="M33" s="118">
        <f>IFERROR(VLOOKUP(B33,'AllFundsBudgetByAccount (not us'!A:R,18,0),0)</f>
        <v>0</v>
      </c>
      <c r="N33" s="118">
        <f>IFERROR(VLOOKUP(B33,'AllFundsBudgetByAccount (not us'!A:T,20,0),0)</f>
        <v>668594</v>
      </c>
      <c r="O33" s="118">
        <f>IFERROR(VLOOKUP(B33,'AllFundsBudgetByAccount (not us'!A:G,7,0),0)</f>
        <v>0</v>
      </c>
      <c r="P33" s="118">
        <f>IFERROR(VLOOKUP(B33,'AllFundsBudgetByAccount (not us'!A:I,9,0),0)</f>
        <v>0</v>
      </c>
      <c r="Q33" s="118">
        <f>IFERROR(VLOOKUP(B33,'AllFundsBudgetByAccount (not us'!A:L,12,0),0)</f>
        <v>668594</v>
      </c>
      <c r="R33" s="118">
        <f>IFERROR(VLOOKUP(B33,'AllFundsBudgetByAccount (not us'!A:M,13,0),0)</f>
        <v>0</v>
      </c>
      <c r="S33" s="118">
        <f>IFERROR(VLOOKUP(B33,'AllFundsBudgetByAccount (not us'!A:P,16,0),0)</f>
        <v>0</v>
      </c>
      <c r="T33" s="118">
        <f>IFERROR(VLOOKUP(B33,'AllFundsBudgetByAccount (not us'!A:S,19,0),0)</f>
        <v>0</v>
      </c>
      <c r="U33" s="119">
        <f t="shared" si="0"/>
        <v>1337188</v>
      </c>
      <c r="V33" s="118">
        <v>619571.88</v>
      </c>
      <c r="W33" s="26">
        <f t="shared" si="1"/>
        <v>717616.12</v>
      </c>
      <c r="X33" s="23">
        <f t="shared" si="2"/>
        <v>1.1582451417904893</v>
      </c>
      <c r="Y33" s="23"/>
      <c r="Z33" s="4"/>
      <c r="AA33" s="3"/>
    </row>
    <row r="34" spans="1:27" ht="12" customHeight="1" x14ac:dyDescent="0.2">
      <c r="A34" s="3">
        <v>522203</v>
      </c>
      <c r="B34" s="30">
        <v>522203</v>
      </c>
      <c r="C34" s="29" t="s">
        <v>103</v>
      </c>
      <c r="D34" s="118">
        <f>IFERROR(VLOOKUP(B34,'AllFundsBudgetByAccount (not us'!A:C,3,0),0)</f>
        <v>0</v>
      </c>
      <c r="E34" s="118">
        <f>IFERROR(VLOOKUP(B34,'AllFundsBudgetByAccount (not us'!A:D,4,0),0)</f>
        <v>0</v>
      </c>
      <c r="F34" s="118">
        <f>IFERROR(VLOOKUP(B34,'AllFundsBudgetByAccount (not us'!A:E,5,0),0)</f>
        <v>0</v>
      </c>
      <c r="G34" s="118">
        <f>IFERROR(VLOOKUP(B34,'AllFundsBudgetByAccount (not us'!A:H,8,0),0)</f>
        <v>0</v>
      </c>
      <c r="H34" s="118">
        <f>IFERROR(VLOOKUP(B34,'AllFundsBudgetByAccount (not us'!A:J,10,0),0)</f>
        <v>0</v>
      </c>
      <c r="I34" s="118">
        <f>IFERROR(VLOOKUP(B34,'AllFundsBudgetByAccount (not us'!A:K,11,0),0)</f>
        <v>0</v>
      </c>
      <c r="J34" s="118">
        <f>IFERROR(VLOOKUP(B34,'AllFundsBudgetByAccount (not us'!A:N,14,0),0)</f>
        <v>0</v>
      </c>
      <c r="K34" s="118">
        <f>IFERROR(VLOOKUP(B34,'AllFundsBudgetByAccount (not us'!A:F,6,0),0)</f>
        <v>0</v>
      </c>
      <c r="L34" s="118">
        <f>IFERROR(VLOOKUP(B34,'AllFundsBudgetByAccount (not us'!A:Q,17,0),0)</f>
        <v>0</v>
      </c>
      <c r="M34" s="118">
        <f>IFERROR(VLOOKUP(B34,'AllFundsBudgetByAccount (not us'!A:R,18,0),0)</f>
        <v>0</v>
      </c>
      <c r="N34" s="118">
        <f>IFERROR(VLOOKUP(B34,'AllFundsBudgetByAccount (not us'!A:T,20,0),0)</f>
        <v>1482000</v>
      </c>
      <c r="O34" s="118">
        <f>IFERROR(VLOOKUP(B34,'AllFundsBudgetByAccount (not us'!A:G,7,0),0)</f>
        <v>0</v>
      </c>
      <c r="P34" s="118">
        <f>IFERROR(VLOOKUP(B34,'AllFundsBudgetByAccount (not us'!A:I,9,0),0)</f>
        <v>0</v>
      </c>
      <c r="Q34" s="118">
        <f>IFERROR(VLOOKUP(B34,'AllFundsBudgetByAccount (not us'!A:L,12,0),0)</f>
        <v>0</v>
      </c>
      <c r="R34" s="118">
        <f>IFERROR(VLOOKUP(B34,'AllFundsBudgetByAccount (not us'!A:M,13,0),0)</f>
        <v>0</v>
      </c>
      <c r="S34" s="118">
        <f>IFERROR(VLOOKUP(B34,'AllFundsBudgetByAccount (not us'!A:P,16,0),0)</f>
        <v>0</v>
      </c>
      <c r="T34" s="118">
        <f>IFERROR(VLOOKUP(B34,'AllFundsBudgetByAccount (not us'!A:S,19,0),0)</f>
        <v>0</v>
      </c>
      <c r="U34" s="119">
        <f t="shared" si="0"/>
        <v>1482000</v>
      </c>
      <c r="V34" s="118">
        <v>2629100</v>
      </c>
      <c r="W34" s="26">
        <f t="shared" si="1"/>
        <v>-1147100</v>
      </c>
      <c r="X34" s="23">
        <f t="shared" si="2"/>
        <v>-0.4363090030809022</v>
      </c>
      <c r="Y34" s="23"/>
      <c r="Z34" s="4"/>
      <c r="AA34" s="3"/>
    </row>
    <row r="35" spans="1:27" ht="12" customHeight="1" x14ac:dyDescent="0.2">
      <c r="A35" s="3">
        <v>522204</v>
      </c>
      <c r="B35" s="30">
        <v>522204</v>
      </c>
      <c r="C35" s="29" t="s">
        <v>102</v>
      </c>
      <c r="D35" s="118">
        <f>IFERROR(VLOOKUP(B35,'AllFundsBudgetByAccount (not us'!A:C,3,0),0)</f>
        <v>0</v>
      </c>
      <c r="E35" s="118">
        <f>IFERROR(VLOOKUP(B35,'AllFundsBudgetByAccount (not us'!A:D,4,0),0)</f>
        <v>0</v>
      </c>
      <c r="F35" s="118">
        <f>IFERROR(VLOOKUP(B35,'AllFundsBudgetByAccount (not us'!A:E,5,0),0)</f>
        <v>0</v>
      </c>
      <c r="G35" s="118">
        <f>IFERROR(VLOOKUP(B35,'AllFundsBudgetByAccount (not us'!A:H,8,0),0)</f>
        <v>0</v>
      </c>
      <c r="H35" s="118">
        <f>IFERROR(VLOOKUP(B35,'AllFundsBudgetByAccount (not us'!A:J,10,0),0)</f>
        <v>0</v>
      </c>
      <c r="I35" s="118">
        <f>IFERROR(VLOOKUP(B35,'AllFundsBudgetByAccount (not us'!A:K,11,0),0)</f>
        <v>0</v>
      </c>
      <c r="J35" s="118">
        <f>IFERROR(VLOOKUP(B35,'AllFundsBudgetByAccount (not us'!A:N,14,0),0)</f>
        <v>0</v>
      </c>
      <c r="K35" s="118">
        <f>IFERROR(VLOOKUP(B35,'AllFundsBudgetByAccount (not us'!A:F,6,0),0)</f>
        <v>0</v>
      </c>
      <c r="L35" s="118">
        <f>IFERROR(VLOOKUP(B35,'AllFundsBudgetByAccount (not us'!A:Q,17,0),0)</f>
        <v>0</v>
      </c>
      <c r="M35" s="118">
        <f>IFERROR(VLOOKUP(B35,'AllFundsBudgetByAccount (not us'!A:R,18,0),0)</f>
        <v>0</v>
      </c>
      <c r="N35" s="118">
        <f>IFERROR(VLOOKUP(B35,'AllFundsBudgetByAccount (not us'!A:T,20,0),0)</f>
        <v>3387000</v>
      </c>
      <c r="O35" s="118">
        <f>IFERROR(VLOOKUP(B35,'AllFundsBudgetByAccount (not us'!A:G,7,0),0)</f>
        <v>0</v>
      </c>
      <c r="P35" s="118">
        <f>IFERROR(VLOOKUP(B35,'AllFundsBudgetByAccount (not us'!A:I,9,0),0)</f>
        <v>0</v>
      </c>
      <c r="Q35" s="118">
        <f>IFERROR(VLOOKUP(B35,'AllFundsBudgetByAccount (not us'!A:L,12,0),0)</f>
        <v>0</v>
      </c>
      <c r="R35" s="118">
        <f>IFERROR(VLOOKUP(B35,'AllFundsBudgetByAccount (not us'!A:M,13,0),0)</f>
        <v>0</v>
      </c>
      <c r="S35" s="118">
        <f>IFERROR(VLOOKUP(B35,'AllFundsBudgetByAccount (not us'!A:P,16,0),0)</f>
        <v>0</v>
      </c>
      <c r="T35" s="118">
        <f>IFERROR(VLOOKUP(B35,'AllFundsBudgetByAccount (not us'!A:S,19,0),0)</f>
        <v>0</v>
      </c>
      <c r="U35" s="119">
        <f t="shared" si="0"/>
        <v>3387000</v>
      </c>
      <c r="V35" s="118">
        <v>6357200</v>
      </c>
      <c r="W35" s="26">
        <f t="shared" si="1"/>
        <v>-2970200</v>
      </c>
      <c r="X35" s="23">
        <f t="shared" si="2"/>
        <v>-0.46721827219530609</v>
      </c>
      <c r="Y35" s="23"/>
      <c r="Z35" s="4"/>
      <c r="AA35" s="3"/>
    </row>
    <row r="36" spans="1:27" ht="12" customHeight="1" x14ac:dyDescent="0.2">
      <c r="A36" s="3">
        <v>522205</v>
      </c>
      <c r="B36" s="30">
        <v>522205</v>
      </c>
      <c r="C36" s="29" t="s">
        <v>101</v>
      </c>
      <c r="D36" s="118">
        <f>IFERROR(VLOOKUP(B36,'AllFundsBudgetByAccount (not us'!A:C,3,0),0)</f>
        <v>0</v>
      </c>
      <c r="E36" s="118">
        <f>IFERROR(VLOOKUP(B36,'AllFundsBudgetByAccount (not us'!A:D,4,0),0)</f>
        <v>0</v>
      </c>
      <c r="F36" s="118">
        <f>IFERROR(VLOOKUP(B36,'AllFundsBudgetByAccount (not us'!A:E,5,0),0)</f>
        <v>0</v>
      </c>
      <c r="G36" s="118">
        <f>IFERROR(VLOOKUP(B36,'AllFundsBudgetByAccount (not us'!A:H,8,0),0)</f>
        <v>0</v>
      </c>
      <c r="H36" s="118">
        <f>IFERROR(VLOOKUP(B36,'AllFundsBudgetByAccount (not us'!A:J,10,0),0)</f>
        <v>0</v>
      </c>
      <c r="I36" s="118">
        <f>IFERROR(VLOOKUP(B36,'AllFundsBudgetByAccount (not us'!A:K,11,0),0)</f>
        <v>0</v>
      </c>
      <c r="J36" s="118">
        <f>IFERROR(VLOOKUP(B36,'AllFundsBudgetByAccount (not us'!A:N,14,0),0)</f>
        <v>0</v>
      </c>
      <c r="K36" s="118">
        <f>IFERROR(VLOOKUP(B36,'AllFundsBudgetByAccount (not us'!A:F,6,0),0)</f>
        <v>0</v>
      </c>
      <c r="L36" s="118">
        <f>IFERROR(VLOOKUP(B36,'AllFundsBudgetByAccount (not us'!A:Q,17,0),0)</f>
        <v>0</v>
      </c>
      <c r="M36" s="118">
        <f>IFERROR(VLOOKUP(B36,'AllFundsBudgetByAccount (not us'!A:R,18,0),0)</f>
        <v>0</v>
      </c>
      <c r="N36" s="118">
        <f>IFERROR(VLOOKUP(B36,'AllFundsBudgetByAccount (not us'!A:T,20,0),0)</f>
        <v>14115000</v>
      </c>
      <c r="O36" s="118">
        <f>IFERROR(VLOOKUP(B36,'AllFundsBudgetByAccount (not us'!A:G,7,0),0)</f>
        <v>0</v>
      </c>
      <c r="P36" s="118">
        <f>IFERROR(VLOOKUP(B36,'AllFundsBudgetByAccount (not us'!A:I,9,0),0)</f>
        <v>0</v>
      </c>
      <c r="Q36" s="118">
        <f>IFERROR(VLOOKUP(B36,'AllFundsBudgetByAccount (not us'!A:L,12,0),0)</f>
        <v>0</v>
      </c>
      <c r="R36" s="118">
        <f>IFERROR(VLOOKUP(B36,'AllFundsBudgetByAccount (not us'!A:M,13,0),0)</f>
        <v>0</v>
      </c>
      <c r="S36" s="118">
        <f>IFERROR(VLOOKUP(B36,'AllFundsBudgetByAccount (not us'!A:P,16,0),0)</f>
        <v>0</v>
      </c>
      <c r="T36" s="118">
        <f>IFERROR(VLOOKUP(B36,'AllFundsBudgetByAccount (not us'!A:S,19,0),0)</f>
        <v>0</v>
      </c>
      <c r="U36" s="119">
        <f t="shared" si="0"/>
        <v>14115000</v>
      </c>
      <c r="V36" s="118">
        <v>24140000</v>
      </c>
      <c r="W36" s="26">
        <f t="shared" si="1"/>
        <v>-10025000</v>
      </c>
      <c r="X36" s="23">
        <f t="shared" si="2"/>
        <v>-0.4152858326429163</v>
      </c>
      <c r="Y36" s="23"/>
      <c r="Z36" s="4"/>
      <c r="AA36" s="3"/>
    </row>
    <row r="37" spans="1:27" ht="12" customHeight="1" x14ac:dyDescent="0.2">
      <c r="A37" s="3">
        <v>522206</v>
      </c>
      <c r="B37" s="30">
        <v>522206</v>
      </c>
      <c r="C37" s="29" t="s">
        <v>100</v>
      </c>
      <c r="D37" s="118">
        <f>IFERROR(VLOOKUP(B37,'AllFundsBudgetByAccount (not us'!A:C,3,0),0)</f>
        <v>0</v>
      </c>
      <c r="E37" s="118">
        <f>IFERROR(VLOOKUP(B37,'AllFundsBudgetByAccount (not us'!A:D,4,0),0)</f>
        <v>0</v>
      </c>
      <c r="F37" s="118">
        <f>IFERROR(VLOOKUP(B37,'AllFundsBudgetByAccount (not us'!A:E,5,0),0)</f>
        <v>0</v>
      </c>
      <c r="G37" s="118">
        <f>IFERROR(VLOOKUP(B37,'AllFundsBudgetByAccount (not us'!A:H,8,0),0)</f>
        <v>0</v>
      </c>
      <c r="H37" s="118">
        <f>IFERROR(VLOOKUP(B37,'AllFundsBudgetByAccount (not us'!A:J,10,0),0)</f>
        <v>0</v>
      </c>
      <c r="I37" s="118">
        <f>IFERROR(VLOOKUP(B37,'AllFundsBudgetByAccount (not us'!A:K,11,0),0)</f>
        <v>0</v>
      </c>
      <c r="J37" s="118">
        <f>IFERROR(VLOOKUP(B37,'AllFundsBudgetByAccount (not us'!A:N,14,0),0)</f>
        <v>0</v>
      </c>
      <c r="K37" s="118">
        <f>IFERROR(VLOOKUP(B37,'AllFundsBudgetByAccount (not us'!A:F,6,0),0)</f>
        <v>0</v>
      </c>
      <c r="L37" s="118">
        <f>IFERROR(VLOOKUP(B37,'AllFundsBudgetByAccount (not us'!A:Q,17,0),0)</f>
        <v>0</v>
      </c>
      <c r="M37" s="118">
        <f>IFERROR(VLOOKUP(B37,'AllFundsBudgetByAccount (not us'!A:R,18,0),0)</f>
        <v>0</v>
      </c>
      <c r="N37" s="118">
        <f>IFERROR(VLOOKUP(B37,'AllFundsBudgetByAccount (not us'!A:T,20,0),0)</f>
        <v>10981000</v>
      </c>
      <c r="O37" s="118">
        <f>IFERROR(VLOOKUP(B37,'AllFundsBudgetByAccount (not us'!A:G,7,0),0)</f>
        <v>0</v>
      </c>
      <c r="P37" s="118">
        <f>IFERROR(VLOOKUP(B37,'AllFundsBudgetByAccount (not us'!A:I,9,0),0)</f>
        <v>0</v>
      </c>
      <c r="Q37" s="118">
        <f>IFERROR(VLOOKUP(B37,'AllFundsBudgetByAccount (not us'!A:L,12,0),0)</f>
        <v>0</v>
      </c>
      <c r="R37" s="118">
        <f>IFERROR(VLOOKUP(B37,'AllFundsBudgetByAccount (not us'!A:M,13,0),0)</f>
        <v>0</v>
      </c>
      <c r="S37" s="118">
        <f>IFERROR(VLOOKUP(B37,'AllFundsBudgetByAccount (not us'!A:P,16,0),0)</f>
        <v>0</v>
      </c>
      <c r="T37" s="118">
        <f>IFERROR(VLOOKUP(B37,'AllFundsBudgetByAccount (not us'!A:S,19,0),0)</f>
        <v>0</v>
      </c>
      <c r="U37" s="119">
        <f t="shared" si="0"/>
        <v>10981000</v>
      </c>
      <c r="V37" s="118">
        <v>11350000</v>
      </c>
      <c r="W37" s="26">
        <f t="shared" si="1"/>
        <v>-369000</v>
      </c>
      <c r="X37" s="23">
        <f t="shared" si="2"/>
        <v>-3.251101321585903E-2</v>
      </c>
      <c r="Y37" s="23"/>
      <c r="Z37" s="4"/>
      <c r="AA37" s="3"/>
    </row>
    <row r="38" spans="1:27" ht="12" customHeight="1" x14ac:dyDescent="0.2">
      <c r="A38" s="3">
        <v>522301</v>
      </c>
      <c r="B38" s="30">
        <v>522301</v>
      </c>
      <c r="C38" s="29" t="s">
        <v>48</v>
      </c>
      <c r="D38" s="118">
        <f>IFERROR(VLOOKUP(B38,'AllFundsBudgetByAccount (not us'!A:C,3,0),0)</f>
        <v>0</v>
      </c>
      <c r="E38" s="118">
        <f>IFERROR(VLOOKUP(B38,'AllFundsBudgetByAccount (not us'!A:D,4,0),0)</f>
        <v>0</v>
      </c>
      <c r="F38" s="118">
        <f>IFERROR(VLOOKUP(B38,'AllFundsBudgetByAccount (not us'!A:E,5,0),0)</f>
        <v>0</v>
      </c>
      <c r="G38" s="118">
        <f>IFERROR(VLOOKUP(B38,'AllFundsBudgetByAccount (not us'!A:H,8,0),0)</f>
        <v>0</v>
      </c>
      <c r="H38" s="118">
        <f>IFERROR(VLOOKUP(B38,'AllFundsBudgetByAccount (not us'!A:J,10,0),0)</f>
        <v>0</v>
      </c>
      <c r="I38" s="118">
        <f>IFERROR(VLOOKUP(B38,'AllFundsBudgetByAccount (not us'!A:K,11,0),0)</f>
        <v>0</v>
      </c>
      <c r="J38" s="118">
        <f>IFERROR(VLOOKUP(B38,'AllFundsBudgetByAccount (not us'!A:N,14,0),0)</f>
        <v>0</v>
      </c>
      <c r="K38" s="118">
        <f>IFERROR(VLOOKUP(B38,'AllFundsBudgetByAccount (not us'!A:F,6,0),0)</f>
        <v>0</v>
      </c>
      <c r="L38" s="118">
        <f>IFERROR(VLOOKUP(B38,'AllFundsBudgetByAccount (not us'!A:Q,17,0),0)</f>
        <v>0</v>
      </c>
      <c r="M38" s="118">
        <f>IFERROR(VLOOKUP(B38,'AllFundsBudgetByAccount (not us'!A:R,18,0),0)</f>
        <v>0</v>
      </c>
      <c r="N38" s="118">
        <f>IFERROR(VLOOKUP(B38,'AllFundsBudgetByAccount (not us'!A:T,20,0),0)</f>
        <v>477583</v>
      </c>
      <c r="O38" s="118">
        <f>IFERROR(VLOOKUP(B38,'AllFundsBudgetByAccount (not us'!A:G,7,0),0)</f>
        <v>0</v>
      </c>
      <c r="P38" s="118">
        <f>IFERROR(VLOOKUP(B38,'AllFundsBudgetByAccount (not us'!A:I,9,0),0)</f>
        <v>0</v>
      </c>
      <c r="Q38" s="118">
        <f>IFERROR(VLOOKUP(B38,'AllFundsBudgetByAccount (not us'!A:L,12,0),0)</f>
        <v>477583</v>
      </c>
      <c r="R38" s="118">
        <f>IFERROR(VLOOKUP(B38,'AllFundsBudgetByAccount (not us'!A:M,13,0),0)</f>
        <v>0</v>
      </c>
      <c r="S38" s="118">
        <f>IFERROR(VLOOKUP(B38,'AllFundsBudgetByAccount (not us'!A:P,16,0),0)</f>
        <v>0</v>
      </c>
      <c r="T38" s="118">
        <f>IFERROR(VLOOKUP(B38,'AllFundsBudgetByAccount (not us'!A:S,19,0),0)</f>
        <v>0</v>
      </c>
      <c r="U38" s="119">
        <f t="shared" si="0"/>
        <v>955166</v>
      </c>
      <c r="V38" s="118">
        <v>376000</v>
      </c>
      <c r="W38" s="26">
        <f t="shared" si="1"/>
        <v>579166</v>
      </c>
      <c r="X38" s="23">
        <f t="shared" si="2"/>
        <v>1.5403351063829787</v>
      </c>
      <c r="Y38" s="23"/>
      <c r="Z38" s="4"/>
      <c r="AA38" s="3"/>
    </row>
    <row r="39" spans="1:27" ht="12" customHeight="1" x14ac:dyDescent="0.2">
      <c r="A39" s="3">
        <v>522302</v>
      </c>
      <c r="B39" s="30">
        <v>522302</v>
      </c>
      <c r="C39" s="29" t="s">
        <v>49</v>
      </c>
      <c r="D39" s="118">
        <f>IFERROR(VLOOKUP(B39,'AllFundsBudgetByAccount (not us'!A:C,3,0),0)</f>
        <v>0</v>
      </c>
      <c r="E39" s="118">
        <f>IFERROR(VLOOKUP(B39,'AllFundsBudgetByAccount (not us'!A:D,4,0),0)</f>
        <v>0</v>
      </c>
      <c r="F39" s="118">
        <f>IFERROR(VLOOKUP(B39,'AllFundsBudgetByAccount (not us'!A:E,5,0),0)</f>
        <v>0</v>
      </c>
      <c r="G39" s="118">
        <f>IFERROR(VLOOKUP(B39,'AllFundsBudgetByAccount (not us'!A:H,8,0),0)</f>
        <v>0</v>
      </c>
      <c r="H39" s="118">
        <f>IFERROR(VLOOKUP(B39,'AllFundsBudgetByAccount (not us'!A:J,10,0),0)</f>
        <v>0</v>
      </c>
      <c r="I39" s="118">
        <f>IFERROR(VLOOKUP(B39,'AllFundsBudgetByAccount (not us'!A:K,11,0),0)</f>
        <v>0</v>
      </c>
      <c r="J39" s="118">
        <f>IFERROR(VLOOKUP(B39,'AllFundsBudgetByAccount (not us'!A:N,14,0),0)</f>
        <v>0</v>
      </c>
      <c r="K39" s="118">
        <f>IFERROR(VLOOKUP(B39,'AllFundsBudgetByAccount (not us'!A:F,6,0),0)</f>
        <v>0</v>
      </c>
      <c r="L39" s="118">
        <f>IFERROR(VLOOKUP(B39,'AllFundsBudgetByAccount (not us'!A:Q,17,0),0)</f>
        <v>0</v>
      </c>
      <c r="M39" s="118">
        <f>IFERROR(VLOOKUP(B39,'AllFundsBudgetByAccount (not us'!A:R,18,0),0)</f>
        <v>0</v>
      </c>
      <c r="N39" s="118">
        <f>IFERROR(VLOOKUP(B39,'AllFundsBudgetByAccount (not us'!A:T,20,0),0)</f>
        <v>105200</v>
      </c>
      <c r="O39" s="118">
        <f>IFERROR(VLOOKUP(B39,'AllFundsBudgetByAccount (not us'!A:G,7,0),0)</f>
        <v>35200</v>
      </c>
      <c r="P39" s="118">
        <f>IFERROR(VLOOKUP(B39,'AllFundsBudgetByAccount (not us'!A:I,9,0),0)</f>
        <v>0</v>
      </c>
      <c r="Q39" s="118">
        <f>IFERROR(VLOOKUP(B39,'AllFundsBudgetByAccount (not us'!A:L,12,0),0)</f>
        <v>70000</v>
      </c>
      <c r="R39" s="118">
        <f>IFERROR(VLOOKUP(B39,'AllFundsBudgetByAccount (not us'!A:M,13,0),0)</f>
        <v>0</v>
      </c>
      <c r="S39" s="118">
        <f>IFERROR(VLOOKUP(B39,'AllFundsBudgetByAccount (not us'!A:P,16,0),0)</f>
        <v>0</v>
      </c>
      <c r="T39" s="118">
        <f>IFERROR(VLOOKUP(B39,'AllFundsBudgetByAccount (not us'!A:S,19,0),0)</f>
        <v>0</v>
      </c>
      <c r="U39" s="119">
        <f t="shared" si="0"/>
        <v>210400</v>
      </c>
      <c r="V39" s="118">
        <v>90550</v>
      </c>
      <c r="W39" s="26">
        <f t="shared" si="1"/>
        <v>119850</v>
      </c>
      <c r="X39" s="23">
        <f t="shared" si="2"/>
        <v>1.3235781336278298</v>
      </c>
      <c r="Y39" s="23"/>
      <c r="Z39" s="4"/>
      <c r="AA39" s="3"/>
    </row>
    <row r="40" spans="1:27" ht="12" customHeight="1" x14ac:dyDescent="0.2">
      <c r="A40" s="3">
        <v>523101</v>
      </c>
      <c r="B40" s="30">
        <v>523101</v>
      </c>
      <c r="C40" s="29" t="s">
        <v>23</v>
      </c>
      <c r="D40" s="118">
        <f>IFERROR(VLOOKUP(B40,'AllFundsBudgetByAccount (not us'!A:C,3,0),0)</f>
        <v>0</v>
      </c>
      <c r="E40" s="118">
        <f>IFERROR(VLOOKUP(B40,'AllFundsBudgetByAccount (not us'!A:D,4,0),0)</f>
        <v>0</v>
      </c>
      <c r="F40" s="118">
        <f>IFERROR(VLOOKUP(B40,'AllFundsBudgetByAccount (not us'!A:E,5,0),0)</f>
        <v>0</v>
      </c>
      <c r="G40" s="118">
        <f>IFERROR(VLOOKUP(B40,'AllFundsBudgetByAccount (not us'!A:H,8,0),0)</f>
        <v>0</v>
      </c>
      <c r="H40" s="118">
        <f>IFERROR(VLOOKUP(B40,'AllFundsBudgetByAccount (not us'!A:J,10,0),0)</f>
        <v>0</v>
      </c>
      <c r="I40" s="118">
        <f>IFERROR(VLOOKUP(B40,'AllFundsBudgetByAccount (not us'!A:K,11,0),0)</f>
        <v>0</v>
      </c>
      <c r="J40" s="118">
        <f>IFERROR(VLOOKUP(B40,'AllFundsBudgetByAccount (not us'!A:N,14,0),0)</f>
        <v>0</v>
      </c>
      <c r="K40" s="118">
        <f>IFERROR(VLOOKUP(B40,'AllFundsBudgetByAccount (not us'!A:F,6,0),0)</f>
        <v>0</v>
      </c>
      <c r="L40" s="118">
        <f>IFERROR(VLOOKUP(B40,'AllFundsBudgetByAccount (not us'!A:Q,17,0),0)</f>
        <v>0</v>
      </c>
      <c r="M40" s="118">
        <f>IFERROR(VLOOKUP(B40,'AllFundsBudgetByAccount (not us'!A:R,18,0),0)</f>
        <v>6487528</v>
      </c>
      <c r="N40" s="118">
        <f>IFERROR(VLOOKUP(B40,'AllFundsBudgetByAccount (not us'!A:T,20,0),0)</f>
        <v>6488028</v>
      </c>
      <c r="O40" s="118">
        <f>IFERROR(VLOOKUP(B40,'AllFundsBudgetByAccount (not us'!A:G,7,0),0)</f>
        <v>0</v>
      </c>
      <c r="P40" s="118">
        <f>IFERROR(VLOOKUP(B40,'AllFundsBudgetByAccount (not us'!A:I,9,0),0)</f>
        <v>0</v>
      </c>
      <c r="Q40" s="118">
        <f>IFERROR(VLOOKUP(B40,'AllFundsBudgetByAccount (not us'!A:L,12,0),0)</f>
        <v>500</v>
      </c>
      <c r="R40" s="118">
        <f>IFERROR(VLOOKUP(B40,'AllFundsBudgetByAccount (not us'!A:M,13,0),0)</f>
        <v>0</v>
      </c>
      <c r="S40" s="118">
        <f>IFERROR(VLOOKUP(B40,'AllFundsBudgetByAccount (not us'!A:P,16,0),0)</f>
        <v>0</v>
      </c>
      <c r="T40" s="118">
        <f>IFERROR(VLOOKUP(B40,'AllFundsBudgetByAccount (not us'!A:S,19,0),0)</f>
        <v>0</v>
      </c>
      <c r="U40" s="119">
        <f t="shared" si="0"/>
        <v>12976056</v>
      </c>
      <c r="V40" s="118">
        <v>6637528</v>
      </c>
      <c r="W40" s="118">
        <f t="shared" si="1"/>
        <v>6338528</v>
      </c>
      <c r="X40" s="23">
        <f t="shared" si="2"/>
        <v>0.95495310904903152</v>
      </c>
      <c r="Y40" s="23"/>
      <c r="Z40" s="4"/>
      <c r="AA40" s="3"/>
    </row>
    <row r="41" spans="1:27" ht="12" customHeight="1" x14ac:dyDescent="0.2">
      <c r="A41" s="3">
        <v>523201</v>
      </c>
      <c r="B41" s="30">
        <v>523201</v>
      </c>
      <c r="C41" s="29" t="s">
        <v>58</v>
      </c>
      <c r="D41" s="118">
        <f>IFERROR(VLOOKUP(B41,'AllFundsBudgetByAccount (not us'!A:C,3,0),0)</f>
        <v>0</v>
      </c>
      <c r="E41" s="118">
        <f>IFERROR(VLOOKUP(B41,'AllFundsBudgetByAccount (not us'!A:D,4,0),0)</f>
        <v>0</v>
      </c>
      <c r="F41" s="118">
        <f>IFERROR(VLOOKUP(B41,'AllFundsBudgetByAccount (not us'!A:E,5,0),0)</f>
        <v>0</v>
      </c>
      <c r="G41" s="118">
        <f>IFERROR(VLOOKUP(B41,'AllFundsBudgetByAccount (not us'!A:H,8,0),0)</f>
        <v>0</v>
      </c>
      <c r="H41" s="118">
        <f>IFERROR(VLOOKUP(B41,'AllFundsBudgetByAccount (not us'!A:J,10,0),0)</f>
        <v>0</v>
      </c>
      <c r="I41" s="118">
        <f>IFERROR(VLOOKUP(B41,'AllFundsBudgetByAccount (not us'!A:K,11,0),0)</f>
        <v>0</v>
      </c>
      <c r="J41" s="118">
        <f>IFERROR(VLOOKUP(B41,'AllFundsBudgetByAccount (not us'!A:N,14,0),0)</f>
        <v>0</v>
      </c>
      <c r="K41" s="118">
        <f>IFERROR(VLOOKUP(B41,'AllFundsBudgetByAccount (not us'!A:F,6,0),0)</f>
        <v>0</v>
      </c>
      <c r="L41" s="118">
        <f>IFERROR(VLOOKUP(B41,'AllFundsBudgetByAccount (not us'!A:Q,17,0),0)</f>
        <v>0</v>
      </c>
      <c r="M41" s="118">
        <f>IFERROR(VLOOKUP(B41,'AllFundsBudgetByAccount (not us'!A:R,18,0),0)</f>
        <v>0</v>
      </c>
      <c r="N41" s="118">
        <f>IFERROR(VLOOKUP(B41,'AllFundsBudgetByAccount (not us'!A:T,20,0),0)</f>
        <v>19750000</v>
      </c>
      <c r="O41" s="118">
        <f>IFERROR(VLOOKUP(B41,'AllFundsBudgetByAccount (not us'!A:G,7,0),0)</f>
        <v>19750000</v>
      </c>
      <c r="P41" s="118">
        <f>IFERROR(VLOOKUP(B41,'AllFundsBudgetByAccount (not us'!A:I,9,0),0)</f>
        <v>0</v>
      </c>
      <c r="Q41" s="118">
        <f>IFERROR(VLOOKUP(B41,'AllFundsBudgetByAccount (not us'!A:L,12,0),0)</f>
        <v>0</v>
      </c>
      <c r="R41" s="118">
        <f>IFERROR(VLOOKUP(B41,'AllFundsBudgetByAccount (not us'!A:M,13,0),0)</f>
        <v>0</v>
      </c>
      <c r="S41" s="118">
        <f>IFERROR(VLOOKUP(B41,'AllFundsBudgetByAccount (not us'!A:P,16,0),0)</f>
        <v>0</v>
      </c>
      <c r="T41" s="118">
        <f>IFERROR(VLOOKUP(B41,'AllFundsBudgetByAccount (not us'!A:S,19,0),0)</f>
        <v>0</v>
      </c>
      <c r="U41" s="119">
        <f t="shared" si="0"/>
        <v>39500000</v>
      </c>
      <c r="V41" s="118">
        <v>19100000</v>
      </c>
      <c r="W41" s="26">
        <f t="shared" si="1"/>
        <v>20400000</v>
      </c>
      <c r="X41" s="23">
        <f t="shared" si="2"/>
        <v>1.0680628272251309</v>
      </c>
      <c r="Y41" s="23"/>
      <c r="Z41" s="4"/>
      <c r="AA41" s="3"/>
    </row>
    <row r="42" spans="1:27" ht="12" customHeight="1" x14ac:dyDescent="0.2">
      <c r="A42" s="3">
        <v>523202</v>
      </c>
      <c r="B42" s="30">
        <v>523202</v>
      </c>
      <c r="C42" s="29" t="s">
        <v>59</v>
      </c>
      <c r="D42" s="118">
        <f>IFERROR(VLOOKUP(B42,'AllFundsBudgetByAccount (not us'!A:C,3,0),0)</f>
        <v>0</v>
      </c>
      <c r="E42" s="118">
        <f>IFERROR(VLOOKUP(B42,'AllFundsBudgetByAccount (not us'!A:D,4,0),0)</f>
        <v>0</v>
      </c>
      <c r="F42" s="118">
        <f>IFERROR(VLOOKUP(B42,'AllFundsBudgetByAccount (not us'!A:E,5,0),0)</f>
        <v>0</v>
      </c>
      <c r="G42" s="118">
        <f>IFERROR(VLOOKUP(B42,'AllFundsBudgetByAccount (not us'!A:H,8,0),0)</f>
        <v>0</v>
      </c>
      <c r="H42" s="118">
        <f>IFERROR(VLOOKUP(B42,'AllFundsBudgetByAccount (not us'!A:J,10,0),0)</f>
        <v>0</v>
      </c>
      <c r="I42" s="118">
        <f>IFERROR(VLOOKUP(B42,'AllFundsBudgetByAccount (not us'!A:K,11,0),0)</f>
        <v>0</v>
      </c>
      <c r="J42" s="118">
        <f>IFERROR(VLOOKUP(B42,'AllFundsBudgetByAccount (not us'!A:N,14,0),0)</f>
        <v>0</v>
      </c>
      <c r="K42" s="118">
        <f>IFERROR(VLOOKUP(B42,'AllFundsBudgetByAccount (not us'!A:F,6,0),0)</f>
        <v>0</v>
      </c>
      <c r="L42" s="118">
        <f>IFERROR(VLOOKUP(B42,'AllFundsBudgetByAccount (not us'!A:Q,17,0),0)</f>
        <v>0</v>
      </c>
      <c r="M42" s="118">
        <f>IFERROR(VLOOKUP(B42,'AllFundsBudgetByAccount (not us'!A:R,18,0),0)</f>
        <v>0</v>
      </c>
      <c r="N42" s="118">
        <f>IFERROR(VLOOKUP(B42,'AllFundsBudgetByAccount (not us'!A:T,20,0),0)</f>
        <v>1745000</v>
      </c>
      <c r="O42" s="118">
        <f>IFERROR(VLOOKUP(B42,'AllFundsBudgetByAccount (not us'!A:G,7,0),0)</f>
        <v>0</v>
      </c>
      <c r="P42" s="118">
        <f>IFERROR(VLOOKUP(B42,'AllFundsBudgetByAccount (not us'!A:I,9,0),0)</f>
        <v>1500000</v>
      </c>
      <c r="Q42" s="118">
        <f>IFERROR(VLOOKUP(B42,'AllFundsBudgetByAccount (not us'!A:L,12,0),0)</f>
        <v>245000</v>
      </c>
      <c r="R42" s="118">
        <f>IFERROR(VLOOKUP(B42,'AllFundsBudgetByAccount (not us'!A:M,13,0),0)</f>
        <v>0</v>
      </c>
      <c r="S42" s="118">
        <f>IFERROR(VLOOKUP(B42,'AllFundsBudgetByAccount (not us'!A:P,16,0),0)</f>
        <v>0</v>
      </c>
      <c r="T42" s="118">
        <f>IFERROR(VLOOKUP(B42,'AllFundsBudgetByAccount (not us'!A:S,19,0),0)</f>
        <v>0</v>
      </c>
      <c r="U42" s="119">
        <f t="shared" si="0"/>
        <v>3490000</v>
      </c>
      <c r="V42" s="118">
        <v>1785000</v>
      </c>
      <c r="W42" s="26">
        <f t="shared" si="1"/>
        <v>1705000</v>
      </c>
      <c r="X42" s="23">
        <f t="shared" si="2"/>
        <v>0.9551820728291317</v>
      </c>
      <c r="Y42" s="23"/>
      <c r="Z42" s="4"/>
      <c r="AA42" s="3"/>
    </row>
    <row r="43" spans="1:27" ht="12" customHeight="1" x14ac:dyDescent="0.2">
      <c r="A43" s="3">
        <v>523203</v>
      </c>
      <c r="B43" s="30">
        <v>523203</v>
      </c>
      <c r="C43" s="29" t="s">
        <v>33</v>
      </c>
      <c r="D43" s="118">
        <f>IFERROR(VLOOKUP(B43,'AllFundsBudgetByAccount (not us'!A:C,3,0),0)</f>
        <v>0</v>
      </c>
      <c r="E43" s="118">
        <f>IFERROR(VLOOKUP(B43,'AllFundsBudgetByAccount (not us'!A:D,4,0),0)</f>
        <v>0</v>
      </c>
      <c r="F43" s="118">
        <f>IFERROR(VLOOKUP(B43,'AllFundsBudgetByAccount (not us'!A:E,5,0),0)</f>
        <v>0</v>
      </c>
      <c r="G43" s="118">
        <f>IFERROR(VLOOKUP(B43,'AllFundsBudgetByAccount (not us'!A:H,8,0),0)</f>
        <v>0</v>
      </c>
      <c r="H43" s="118">
        <f>IFERROR(VLOOKUP(B43,'AllFundsBudgetByAccount (not us'!A:J,10,0),0)</f>
        <v>0</v>
      </c>
      <c r="I43" s="118">
        <f>IFERROR(VLOOKUP(B43,'AllFundsBudgetByAccount (not us'!A:K,11,0),0)</f>
        <v>0</v>
      </c>
      <c r="J43" s="118">
        <f>IFERROR(VLOOKUP(B43,'AllFundsBudgetByAccount (not us'!A:N,14,0),0)</f>
        <v>61000</v>
      </c>
      <c r="K43" s="118">
        <f>IFERROR(VLOOKUP(B43,'AllFundsBudgetByAccount (not us'!A:F,6,0),0)</f>
        <v>0</v>
      </c>
      <c r="L43" s="118">
        <f>IFERROR(VLOOKUP(B43,'AllFundsBudgetByAccount (not us'!A:Q,17,0),0)</f>
        <v>0</v>
      </c>
      <c r="M43" s="118">
        <f>IFERROR(VLOOKUP(B43,'AllFundsBudgetByAccount (not us'!A:R,18,0),0)</f>
        <v>0</v>
      </c>
      <c r="N43" s="118">
        <f>IFERROR(VLOOKUP(B43,'AllFundsBudgetByAccount (not us'!A:T,20,0),0)</f>
        <v>61000</v>
      </c>
      <c r="O43" s="118">
        <f>IFERROR(VLOOKUP(B43,'AllFundsBudgetByAccount (not us'!A:G,7,0),0)</f>
        <v>0</v>
      </c>
      <c r="P43" s="118">
        <f>IFERROR(VLOOKUP(B43,'AllFundsBudgetByAccount (not us'!A:I,9,0),0)</f>
        <v>0</v>
      </c>
      <c r="Q43" s="118">
        <f>IFERROR(VLOOKUP(B43,'AllFundsBudgetByAccount (not us'!A:L,12,0),0)</f>
        <v>0</v>
      </c>
      <c r="R43" s="118">
        <f>IFERROR(VLOOKUP(B43,'AllFundsBudgetByAccount (not us'!A:M,13,0),0)</f>
        <v>0</v>
      </c>
      <c r="S43" s="118">
        <f>IFERROR(VLOOKUP(B43,'AllFundsBudgetByAccount (not us'!A:P,16,0),0)</f>
        <v>0</v>
      </c>
      <c r="T43" s="118">
        <f>IFERROR(VLOOKUP(B43,'AllFundsBudgetByAccount (not us'!A:S,19,0),0)</f>
        <v>0</v>
      </c>
      <c r="U43" s="119">
        <f t="shared" si="0"/>
        <v>122000</v>
      </c>
      <c r="V43" s="118">
        <v>44369</v>
      </c>
      <c r="W43" s="26">
        <f t="shared" si="1"/>
        <v>77631</v>
      </c>
      <c r="X43" s="23">
        <f t="shared" si="2"/>
        <v>1.7496675606842615</v>
      </c>
      <c r="Y43" s="23"/>
      <c r="Z43" s="4"/>
      <c r="AA43" s="3"/>
    </row>
    <row r="44" spans="1:27" ht="12" customHeight="1" x14ac:dyDescent="0.2">
      <c r="A44" s="3">
        <v>523301</v>
      </c>
      <c r="B44" s="30">
        <v>523301</v>
      </c>
      <c r="C44" s="29" t="s">
        <v>24</v>
      </c>
      <c r="D44" s="118">
        <f>IFERROR(VLOOKUP(B44,'AllFundsBudgetByAccount (not us'!A:C,3,0),0)</f>
        <v>0</v>
      </c>
      <c r="E44" s="118">
        <f>IFERROR(VLOOKUP(B44,'AllFundsBudgetByAccount (not us'!A:D,4,0),0)</f>
        <v>0</v>
      </c>
      <c r="F44" s="118">
        <f>IFERROR(VLOOKUP(B44,'AllFundsBudgetByAccount (not us'!A:E,5,0),0)</f>
        <v>0</v>
      </c>
      <c r="G44" s="118">
        <f>IFERROR(VLOOKUP(B44,'AllFundsBudgetByAccount (not us'!A:H,8,0),0)</f>
        <v>222000</v>
      </c>
      <c r="H44" s="118">
        <f>IFERROR(VLOOKUP(B44,'AllFundsBudgetByAccount (not us'!A:J,10,0),0)</f>
        <v>0</v>
      </c>
      <c r="I44" s="118">
        <f>IFERROR(VLOOKUP(B44,'AllFundsBudgetByAccount (not us'!A:K,11,0),0)</f>
        <v>0</v>
      </c>
      <c r="J44" s="118">
        <f>IFERROR(VLOOKUP(B44,'AllFundsBudgetByAccount (not us'!A:N,14,0),0)</f>
        <v>0</v>
      </c>
      <c r="K44" s="118">
        <f>IFERROR(VLOOKUP(B44,'AllFundsBudgetByAccount (not us'!A:F,6,0),0)</f>
        <v>0</v>
      </c>
      <c r="L44" s="118">
        <f>IFERROR(VLOOKUP(B44,'AllFundsBudgetByAccount (not us'!A:Q,17,0),0)</f>
        <v>0</v>
      </c>
      <c r="M44" s="118">
        <f>IFERROR(VLOOKUP(B44,'AllFundsBudgetByAccount (not us'!A:R,18,0),0)</f>
        <v>0</v>
      </c>
      <c r="N44" s="118">
        <f>IFERROR(VLOOKUP(B44,'AllFundsBudgetByAccount (not us'!A:T,20,0),0)</f>
        <v>222000</v>
      </c>
      <c r="O44" s="118">
        <f>IFERROR(VLOOKUP(B44,'AllFundsBudgetByAccount (not us'!A:G,7,0),0)</f>
        <v>0</v>
      </c>
      <c r="P44" s="118">
        <f>IFERROR(VLOOKUP(B44,'AllFundsBudgetByAccount (not us'!A:I,9,0),0)</f>
        <v>0</v>
      </c>
      <c r="Q44" s="118">
        <f>IFERROR(VLOOKUP(B44,'AllFundsBudgetByAccount (not us'!A:L,12,0),0)</f>
        <v>0</v>
      </c>
      <c r="R44" s="118">
        <f>IFERROR(VLOOKUP(B44,'AllFundsBudgetByAccount (not us'!A:M,13,0),0)</f>
        <v>0</v>
      </c>
      <c r="S44" s="118">
        <f>IFERROR(VLOOKUP(B44,'AllFundsBudgetByAccount (not us'!A:P,16,0),0)</f>
        <v>0</v>
      </c>
      <c r="T44" s="118">
        <f>IFERROR(VLOOKUP(B44,'AllFundsBudgetByAccount (not us'!A:S,19,0),0)</f>
        <v>0</v>
      </c>
      <c r="U44" s="119">
        <f t="shared" si="0"/>
        <v>444000</v>
      </c>
      <c r="V44" s="118">
        <v>222000</v>
      </c>
      <c r="W44" s="118">
        <f t="shared" si="1"/>
        <v>222000</v>
      </c>
      <c r="X44" s="118">
        <f t="shared" si="2"/>
        <v>1</v>
      </c>
      <c r="Y44" s="23"/>
      <c r="Z44" s="4"/>
      <c r="AA44" s="3"/>
    </row>
    <row r="45" spans="1:27" ht="12" hidden="1" customHeight="1" x14ac:dyDescent="0.2">
      <c r="A45" s="3">
        <v>523302</v>
      </c>
      <c r="B45" s="30">
        <v>523302</v>
      </c>
      <c r="C45" s="29" t="s">
        <v>77</v>
      </c>
      <c r="D45" s="118">
        <f>IFERROR(VLOOKUP(B45,'AllFundsBudgetByAccount (not us'!A:C,3,0),0)</f>
        <v>0</v>
      </c>
      <c r="E45" s="118">
        <f>IFERROR(VLOOKUP(B45,'AllFundsBudgetByAccount (not us'!A:D,4,0),0)</f>
        <v>0</v>
      </c>
      <c r="F45" s="118">
        <f>IFERROR(VLOOKUP(B45,'AllFundsBudgetByAccount (not us'!A:E,5,0),0)</f>
        <v>0</v>
      </c>
      <c r="G45" s="118">
        <f>IFERROR(VLOOKUP(B45,'AllFundsBudgetByAccount (not us'!A:H,8,0),0)</f>
        <v>0</v>
      </c>
      <c r="H45" s="118">
        <f>IFERROR(VLOOKUP(B45,'AllFundsBudgetByAccount (not us'!A:J,10,0),0)</f>
        <v>0</v>
      </c>
      <c r="I45" s="118">
        <f>IFERROR(VLOOKUP(B45,'AllFundsBudgetByAccount (not us'!A:K,11,0),0)</f>
        <v>0</v>
      </c>
      <c r="J45" s="118">
        <f>IFERROR(VLOOKUP(B45,'AllFundsBudgetByAccount (not us'!A:N,14,0),0)</f>
        <v>0</v>
      </c>
      <c r="K45" s="118">
        <f>IFERROR(VLOOKUP(B45,'AllFundsBudgetByAccount (not us'!A:F,6,0),0)</f>
        <v>0</v>
      </c>
      <c r="L45" s="118">
        <f>IFERROR(VLOOKUP(B45,'AllFundsBudgetByAccount (not us'!A:Q,17,0),0)</f>
        <v>0</v>
      </c>
      <c r="M45" s="118">
        <f>IFERROR(VLOOKUP(B45,'AllFundsBudgetByAccount (not us'!A:R,18,0),0)</f>
        <v>0</v>
      </c>
      <c r="N45" s="118">
        <f>IFERROR(VLOOKUP(B45,'AllFundsBudgetByAccount (not us'!A:T,20,0),0)</f>
        <v>0</v>
      </c>
      <c r="O45" s="118">
        <f>IFERROR(VLOOKUP(B45,'AllFundsBudgetByAccount (not us'!A:G,7,0),0)</f>
        <v>0</v>
      </c>
      <c r="P45" s="118">
        <f>IFERROR(VLOOKUP(B45,'AllFundsBudgetByAccount (not us'!A:I,9,0),0)</f>
        <v>0</v>
      </c>
      <c r="Q45" s="118">
        <f>IFERROR(VLOOKUP(B45,'AllFundsBudgetByAccount (not us'!A:L,12,0),0)</f>
        <v>0</v>
      </c>
      <c r="R45" s="118">
        <f>IFERROR(VLOOKUP(B45,'AllFundsBudgetByAccount (not us'!A:M,13,0),0)</f>
        <v>0</v>
      </c>
      <c r="S45" s="118">
        <f>IFERROR(VLOOKUP(B45,'AllFundsBudgetByAccount (not us'!A:P,16,0),0)</f>
        <v>0</v>
      </c>
      <c r="T45" s="118">
        <f>IFERROR(VLOOKUP(B45,'AllFundsBudgetByAccount (not us'!A:S,19,0),0)</f>
        <v>0</v>
      </c>
      <c r="U45" s="119">
        <f t="shared" si="0"/>
        <v>0</v>
      </c>
      <c r="V45" s="118">
        <v>0</v>
      </c>
      <c r="W45" s="118">
        <f t="shared" si="1"/>
        <v>0</v>
      </c>
      <c r="X45" s="23">
        <f t="shared" si="2"/>
        <v>1</v>
      </c>
      <c r="Y45" s="23"/>
      <c r="Z45" s="4"/>
      <c r="AA45" s="3"/>
    </row>
    <row r="46" spans="1:27" ht="12" hidden="1" customHeight="1" x14ac:dyDescent="0.2">
      <c r="A46" s="3">
        <v>523303</v>
      </c>
      <c r="B46" s="30">
        <v>523303</v>
      </c>
      <c r="C46" s="29" t="s">
        <v>34</v>
      </c>
      <c r="D46" s="118">
        <f>IFERROR(VLOOKUP(B46,'AllFundsBudgetByAccount (not us'!A:C,3,0),0)</f>
        <v>0</v>
      </c>
      <c r="E46" s="118">
        <f>IFERROR(VLOOKUP(B46,'AllFundsBudgetByAccount (not us'!A:D,4,0),0)</f>
        <v>0</v>
      </c>
      <c r="F46" s="118">
        <f>IFERROR(VLOOKUP(B46,'AllFundsBudgetByAccount (not us'!A:E,5,0),0)</f>
        <v>0</v>
      </c>
      <c r="G46" s="118">
        <f>IFERROR(VLOOKUP(B46,'AllFundsBudgetByAccount (not us'!A:H,8,0),0)</f>
        <v>0</v>
      </c>
      <c r="H46" s="118">
        <f>IFERROR(VLOOKUP(B46,'AllFundsBudgetByAccount (not us'!A:J,10,0),0)</f>
        <v>0</v>
      </c>
      <c r="I46" s="118">
        <f>IFERROR(VLOOKUP(B46,'AllFundsBudgetByAccount (not us'!A:K,11,0),0)</f>
        <v>0</v>
      </c>
      <c r="J46" s="118">
        <f>IFERROR(VLOOKUP(B46,'AllFundsBudgetByAccount (not us'!A:N,14,0),0)</f>
        <v>0</v>
      </c>
      <c r="K46" s="118">
        <f>IFERROR(VLOOKUP(B46,'AllFundsBudgetByAccount (not us'!A:F,6,0),0)</f>
        <v>0</v>
      </c>
      <c r="L46" s="118">
        <f>IFERROR(VLOOKUP(B46,'AllFundsBudgetByAccount (not us'!A:Q,17,0),0)</f>
        <v>0</v>
      </c>
      <c r="M46" s="118">
        <f>IFERROR(VLOOKUP(B46,'AllFundsBudgetByAccount (not us'!A:R,18,0),0)</f>
        <v>0</v>
      </c>
      <c r="N46" s="118">
        <f>IFERROR(VLOOKUP(B46,'AllFundsBudgetByAccount (not us'!A:T,20,0),0)</f>
        <v>0</v>
      </c>
      <c r="O46" s="118">
        <f>IFERROR(VLOOKUP(B46,'AllFundsBudgetByAccount (not us'!A:G,7,0),0)</f>
        <v>0</v>
      </c>
      <c r="P46" s="118">
        <f>IFERROR(VLOOKUP(B46,'AllFundsBudgetByAccount (not us'!A:I,9,0),0)</f>
        <v>0</v>
      </c>
      <c r="Q46" s="118">
        <f>IFERROR(VLOOKUP(B46,'AllFundsBudgetByAccount (not us'!A:L,12,0),0)</f>
        <v>0</v>
      </c>
      <c r="R46" s="118">
        <f>IFERROR(VLOOKUP(B46,'AllFundsBudgetByAccount (not us'!A:M,13,0),0)</f>
        <v>0</v>
      </c>
      <c r="S46" s="118">
        <f>IFERROR(VLOOKUP(B46,'AllFundsBudgetByAccount (not us'!A:P,16,0),0)</f>
        <v>0</v>
      </c>
      <c r="T46" s="118">
        <f>IFERROR(VLOOKUP(B46,'AllFundsBudgetByAccount (not us'!A:S,19,0),0)</f>
        <v>0</v>
      </c>
      <c r="U46" s="119">
        <f t="shared" si="0"/>
        <v>0</v>
      </c>
      <c r="V46" s="118">
        <v>0</v>
      </c>
      <c r="W46" s="118">
        <f t="shared" si="1"/>
        <v>0</v>
      </c>
      <c r="X46" s="23">
        <f t="shared" si="2"/>
        <v>1</v>
      </c>
      <c r="Y46" s="23"/>
      <c r="Z46" s="4"/>
      <c r="AA46" s="3"/>
    </row>
    <row r="47" spans="1:27" ht="12" customHeight="1" x14ac:dyDescent="0.2">
      <c r="A47" s="3">
        <v>523304</v>
      </c>
      <c r="B47" s="30">
        <v>523304</v>
      </c>
      <c r="C47" s="29" t="s">
        <v>35</v>
      </c>
      <c r="D47" s="118">
        <f>IFERROR(VLOOKUP(B47,'AllFundsBudgetByAccount (not us'!A:C,3,0),0)</f>
        <v>1000</v>
      </c>
      <c r="E47" s="118">
        <f>IFERROR(VLOOKUP(B47,'AllFundsBudgetByAccount (not us'!A:D,4,0),0)</f>
        <v>0</v>
      </c>
      <c r="F47" s="118">
        <f>IFERROR(VLOOKUP(B47,'AllFundsBudgetByAccount (not us'!A:E,5,0),0)</f>
        <v>0</v>
      </c>
      <c r="G47" s="118">
        <f>IFERROR(VLOOKUP(B47,'AllFundsBudgetByAccount (not us'!A:H,8,0),0)</f>
        <v>16000</v>
      </c>
      <c r="H47" s="118">
        <f>IFERROR(VLOOKUP(B47,'AllFundsBudgetByAccount (not us'!A:J,10,0),0)</f>
        <v>0</v>
      </c>
      <c r="I47" s="118">
        <f>IFERROR(VLOOKUP(B47,'AllFundsBudgetByAccount (not us'!A:K,11,0),0)</f>
        <v>0</v>
      </c>
      <c r="J47" s="118">
        <f>IFERROR(VLOOKUP(B47,'AllFundsBudgetByAccount (not us'!A:N,14,0),0)</f>
        <v>0</v>
      </c>
      <c r="K47" s="118">
        <f>IFERROR(VLOOKUP(B47,'AllFundsBudgetByAccount (not us'!A:F,6,0),0)</f>
        <v>124525</v>
      </c>
      <c r="L47" s="118">
        <f>IFERROR(VLOOKUP(B47,'AllFundsBudgetByAccount (not us'!A:Q,17,0),0)</f>
        <v>0</v>
      </c>
      <c r="M47" s="118">
        <f>IFERROR(VLOOKUP(B47,'AllFundsBudgetByAccount (not us'!A:R,18,0),0)</f>
        <v>6229</v>
      </c>
      <c r="N47" s="118">
        <f>IFERROR(VLOOKUP(B47,'AllFundsBudgetByAccount (not us'!A:T,20,0),0)</f>
        <v>1914295</v>
      </c>
      <c r="O47" s="118">
        <f>IFERROR(VLOOKUP(B47,'AllFundsBudgetByAccount (not us'!A:G,7,0),0)</f>
        <v>50000</v>
      </c>
      <c r="P47" s="118">
        <f>IFERROR(VLOOKUP(B47,'AllFundsBudgetByAccount (not us'!A:I,9,0),0)</f>
        <v>0</v>
      </c>
      <c r="Q47" s="118">
        <f>IFERROR(VLOOKUP(B47,'AllFundsBudgetByAccount (not us'!A:L,12,0),0)</f>
        <v>0</v>
      </c>
      <c r="R47" s="118">
        <f>IFERROR(VLOOKUP(B47,'AllFundsBudgetByAccount (not us'!A:M,13,0),0)</f>
        <v>0</v>
      </c>
      <c r="S47" s="118">
        <f>IFERROR(VLOOKUP(B47,'AllFundsBudgetByAccount (not us'!A:P,16,0),0)</f>
        <v>1715841</v>
      </c>
      <c r="T47" s="118">
        <f>IFERROR(VLOOKUP(B47,'AllFundsBudgetByAccount (not us'!A:S,19,0),0)</f>
        <v>700</v>
      </c>
      <c r="U47" s="119">
        <f t="shared" si="0"/>
        <v>3828590</v>
      </c>
      <c r="V47" s="118">
        <v>1963273</v>
      </c>
      <c r="W47" s="26">
        <f t="shared" si="1"/>
        <v>1865317</v>
      </c>
      <c r="X47" s="23">
        <f t="shared" si="2"/>
        <v>0.95010576725702434</v>
      </c>
      <c r="Y47" s="23"/>
      <c r="Z47" s="4"/>
      <c r="AA47" s="3"/>
    </row>
    <row r="48" spans="1:27" ht="12" customHeight="1" x14ac:dyDescent="0.2">
      <c r="A48" s="3">
        <v>523305</v>
      </c>
      <c r="B48" s="30">
        <v>523305</v>
      </c>
      <c r="C48" s="29" t="s">
        <v>25</v>
      </c>
      <c r="D48" s="118">
        <f>IFERROR(VLOOKUP(B48,'AllFundsBudgetByAccount (not us'!A:C,3,0),0)</f>
        <v>0</v>
      </c>
      <c r="E48" s="118">
        <f>IFERROR(VLOOKUP(B48,'AllFundsBudgetByAccount (not us'!A:D,4,0),0)</f>
        <v>0</v>
      </c>
      <c r="F48" s="118">
        <f>IFERROR(VLOOKUP(B48,'AllFundsBudgetByAccount (not us'!A:E,5,0),0)</f>
        <v>0</v>
      </c>
      <c r="G48" s="118">
        <f>IFERROR(VLOOKUP(B48,'AllFundsBudgetByAccount (not us'!A:H,8,0),0)</f>
        <v>0</v>
      </c>
      <c r="H48" s="118">
        <f>IFERROR(VLOOKUP(B48,'AllFundsBudgetByAccount (not us'!A:J,10,0),0)</f>
        <v>800</v>
      </c>
      <c r="I48" s="118">
        <f>IFERROR(VLOOKUP(B48,'AllFundsBudgetByAccount (not us'!A:K,11,0),0)</f>
        <v>0</v>
      </c>
      <c r="J48" s="118">
        <f>IFERROR(VLOOKUP(B48,'AllFundsBudgetByAccount (not us'!A:N,14,0),0)</f>
        <v>0</v>
      </c>
      <c r="K48" s="118">
        <f>IFERROR(VLOOKUP(B48,'AllFundsBudgetByAccount (not us'!A:F,6,0),0)</f>
        <v>0</v>
      </c>
      <c r="L48" s="118">
        <f>IFERROR(VLOOKUP(B48,'AllFundsBudgetByAccount (not us'!A:Q,17,0),0)</f>
        <v>1000</v>
      </c>
      <c r="M48" s="118">
        <f>IFERROR(VLOOKUP(B48,'AllFundsBudgetByAccount (not us'!A:R,18,0),0)</f>
        <v>0</v>
      </c>
      <c r="N48" s="118">
        <f>IFERROR(VLOOKUP(B48,'AllFundsBudgetByAccount (not us'!A:T,20,0),0)</f>
        <v>92078</v>
      </c>
      <c r="O48" s="118">
        <f>IFERROR(VLOOKUP(B48,'AllFundsBudgetByAccount (not us'!A:G,7,0),0)</f>
        <v>25000</v>
      </c>
      <c r="P48" s="118">
        <f>IFERROR(VLOOKUP(B48,'AllFundsBudgetByAccount (not us'!A:I,9,0),0)</f>
        <v>0</v>
      </c>
      <c r="Q48" s="118">
        <f>IFERROR(VLOOKUP(B48,'AllFundsBudgetByAccount (not us'!A:L,12,0),0)</f>
        <v>10600</v>
      </c>
      <c r="R48" s="118">
        <f>IFERROR(VLOOKUP(B48,'AllFundsBudgetByAccount (not us'!A:M,13,0),0)</f>
        <v>0</v>
      </c>
      <c r="S48" s="118">
        <f>IFERROR(VLOOKUP(B48,'AllFundsBudgetByAccount (not us'!A:P,16,0),0)</f>
        <v>54678</v>
      </c>
      <c r="T48" s="118">
        <f>IFERROR(VLOOKUP(B48,'AllFundsBudgetByAccount (not us'!A:S,19,0),0)</f>
        <v>0</v>
      </c>
      <c r="U48" s="119">
        <f t="shared" si="0"/>
        <v>184156</v>
      </c>
      <c r="V48" s="118">
        <v>55478</v>
      </c>
      <c r="W48" s="26">
        <f t="shared" si="1"/>
        <v>128678</v>
      </c>
      <c r="X48" s="23">
        <f t="shared" si="2"/>
        <v>2.3194419409495657</v>
      </c>
      <c r="Y48" s="23"/>
      <c r="Z48" s="4"/>
      <c r="AA48" s="3"/>
    </row>
    <row r="49" spans="1:27" ht="12" customHeight="1" x14ac:dyDescent="0.2">
      <c r="B49" s="30">
        <v>523306</v>
      </c>
      <c r="C49" s="29" t="s">
        <v>200</v>
      </c>
      <c r="D49" s="118">
        <f>IFERROR(VLOOKUP(B49,'AllFundsBudgetByAccount (not us'!A:C,3,0),0)</f>
        <v>0</v>
      </c>
      <c r="E49" s="118">
        <f>IFERROR(VLOOKUP(B49,'AllFundsBudgetByAccount (not us'!A:D,4,0),0)</f>
        <v>0</v>
      </c>
      <c r="F49" s="118">
        <f>IFERROR(VLOOKUP(B49,'AllFundsBudgetByAccount (not us'!A:E,5,0),0)</f>
        <v>0</v>
      </c>
      <c r="G49" s="118">
        <f>IFERROR(VLOOKUP(B49,'AllFundsBudgetByAccount (not us'!A:H,8,0),0)</f>
        <v>0</v>
      </c>
      <c r="H49" s="118">
        <f>IFERROR(VLOOKUP(B49,'AllFundsBudgetByAccount (not us'!A:J,10,0),0)</f>
        <v>0</v>
      </c>
      <c r="I49" s="118">
        <f>IFERROR(VLOOKUP(B49,'AllFundsBudgetByAccount (not us'!A:K,11,0),0)</f>
        <v>0</v>
      </c>
      <c r="J49" s="118">
        <f>IFERROR(VLOOKUP(B49,'AllFundsBudgetByAccount (not us'!A:N,14,0),0)</f>
        <v>0</v>
      </c>
      <c r="K49" s="118">
        <f>IFERROR(VLOOKUP(B49,'AllFundsBudgetByAccount (not us'!A:F,6,0),0)</f>
        <v>0</v>
      </c>
      <c r="L49" s="118">
        <f>IFERROR(VLOOKUP(B49,'AllFundsBudgetByAccount (not us'!A:Q,17,0),0)</f>
        <v>0</v>
      </c>
      <c r="M49" s="118">
        <f>IFERROR(VLOOKUP(B49,'AllFundsBudgetByAccount (not us'!A:R,18,0),0)</f>
        <v>0</v>
      </c>
      <c r="N49" s="118">
        <f>IFERROR(VLOOKUP(B49,'AllFundsBudgetByAccount (not us'!A:T,20,0),0)</f>
        <v>2256053</v>
      </c>
      <c r="O49" s="118">
        <f>IFERROR(VLOOKUP(B49,'AllFundsBudgetByAccount (not us'!A:G,7,0),0)</f>
        <v>0</v>
      </c>
      <c r="P49" s="118">
        <f>IFERROR(VLOOKUP(B49,'AllFundsBudgetByAccount (not us'!A:I,9,0),0)</f>
        <v>0</v>
      </c>
      <c r="Q49" s="118">
        <f>IFERROR(VLOOKUP(B49,'AllFundsBudgetByAccount (not us'!A:L,12,0),0)</f>
        <v>0</v>
      </c>
      <c r="R49" s="118">
        <f>IFERROR(VLOOKUP(B49,'AllFundsBudgetByAccount (not us'!A:M,13,0),0)</f>
        <v>0</v>
      </c>
      <c r="S49" s="118">
        <f>IFERROR(VLOOKUP(B49,'AllFundsBudgetByAccount (not us'!A:P,16,0),0)</f>
        <v>2256053</v>
      </c>
      <c r="T49" s="118">
        <f>IFERROR(VLOOKUP(B49,'AllFundsBudgetByAccount (not us'!A:S,19,0),0)</f>
        <v>0</v>
      </c>
      <c r="U49" s="119">
        <f t="shared" si="0"/>
        <v>4512106</v>
      </c>
      <c r="V49" s="118">
        <v>2169282</v>
      </c>
      <c r="W49" s="26">
        <f t="shared" si="1"/>
        <v>2342824</v>
      </c>
      <c r="X49" s="23">
        <f t="shared" si="2"/>
        <v>1.0799997418500684</v>
      </c>
      <c r="Y49" s="23"/>
      <c r="Z49" s="4"/>
      <c r="AA49" s="3"/>
    </row>
    <row r="50" spans="1:27" ht="12" customHeight="1" x14ac:dyDescent="0.2">
      <c r="B50" s="30">
        <v>523307</v>
      </c>
      <c r="C50" s="29" t="s">
        <v>201</v>
      </c>
      <c r="D50" s="118">
        <f>IFERROR(VLOOKUP(B50,'AllFundsBudgetByAccount (not us'!A:C,3,0),0)</f>
        <v>0</v>
      </c>
      <c r="E50" s="118">
        <f>IFERROR(VLOOKUP(B50,'AllFundsBudgetByAccount (not us'!A:D,4,0),0)</f>
        <v>0</v>
      </c>
      <c r="F50" s="118">
        <f>IFERROR(VLOOKUP(B50,'AllFundsBudgetByAccount (not us'!A:E,5,0),0)</f>
        <v>0</v>
      </c>
      <c r="G50" s="118">
        <f>IFERROR(VLOOKUP(B50,'AllFundsBudgetByAccount (not us'!A:H,8,0),0)</f>
        <v>0</v>
      </c>
      <c r="H50" s="118">
        <f>IFERROR(VLOOKUP(B50,'AllFundsBudgetByAccount (not us'!A:J,10,0),0)</f>
        <v>0</v>
      </c>
      <c r="I50" s="118">
        <f>IFERROR(VLOOKUP(B50,'AllFundsBudgetByAccount (not us'!A:K,11,0),0)</f>
        <v>0</v>
      </c>
      <c r="J50" s="118">
        <f>IFERROR(VLOOKUP(B50,'AllFundsBudgetByAccount (not us'!A:N,14,0),0)</f>
        <v>0</v>
      </c>
      <c r="K50" s="118">
        <f>IFERROR(VLOOKUP(B50,'AllFundsBudgetByAccount (not us'!A:F,6,0),0)</f>
        <v>0</v>
      </c>
      <c r="L50" s="118">
        <f>IFERROR(VLOOKUP(B50,'AllFundsBudgetByAccount (not us'!A:Q,17,0),0)</f>
        <v>0</v>
      </c>
      <c r="M50" s="118">
        <f>IFERROR(VLOOKUP(B50,'AllFundsBudgetByAccount (not us'!A:R,18,0),0)</f>
        <v>0</v>
      </c>
      <c r="N50" s="118">
        <f>IFERROR(VLOOKUP(B50,'AllFundsBudgetByAccount (not us'!A:T,20,0),0)</f>
        <v>700000</v>
      </c>
      <c r="O50" s="118">
        <f>IFERROR(VLOOKUP(B50,'AllFundsBudgetByAccount (not us'!A:G,7,0),0)</f>
        <v>0</v>
      </c>
      <c r="P50" s="118">
        <f>IFERROR(VLOOKUP(B50,'AllFundsBudgetByAccount (not us'!A:I,9,0),0)</f>
        <v>0</v>
      </c>
      <c r="Q50" s="118">
        <f>IFERROR(VLOOKUP(B50,'AllFundsBudgetByAccount (not us'!A:L,12,0),0)</f>
        <v>0</v>
      </c>
      <c r="R50" s="118">
        <f>IFERROR(VLOOKUP(B50,'AllFundsBudgetByAccount (not us'!A:M,13,0),0)</f>
        <v>0</v>
      </c>
      <c r="S50" s="118">
        <f>IFERROR(VLOOKUP(B50,'AllFundsBudgetByAccount (not us'!A:P,16,0),0)</f>
        <v>700000</v>
      </c>
      <c r="T50" s="118">
        <f>IFERROR(VLOOKUP(B50,'AllFundsBudgetByAccount (not us'!A:S,19,0),0)</f>
        <v>0</v>
      </c>
      <c r="U50" s="119">
        <f t="shared" si="0"/>
        <v>1400000</v>
      </c>
      <c r="V50" s="118">
        <v>700000</v>
      </c>
      <c r="W50" s="118">
        <f t="shared" si="1"/>
        <v>700000</v>
      </c>
      <c r="X50" s="118">
        <f t="shared" si="2"/>
        <v>1</v>
      </c>
      <c r="Y50" s="23"/>
      <c r="Z50" s="4"/>
      <c r="AA50" s="3"/>
    </row>
    <row r="51" spans="1:27" ht="12" customHeight="1" x14ac:dyDescent="0.2">
      <c r="A51" s="3">
        <v>523401</v>
      </c>
      <c r="B51" s="30">
        <v>523401</v>
      </c>
      <c r="C51" s="29" t="s">
        <v>36</v>
      </c>
      <c r="D51" s="118">
        <f>IFERROR(VLOOKUP(B51,'AllFundsBudgetByAccount (not us'!A:C,3,0),0)</f>
        <v>2500</v>
      </c>
      <c r="E51" s="118">
        <f>IFERROR(VLOOKUP(B51,'AllFundsBudgetByAccount (not us'!A:D,4,0),0)</f>
        <v>0</v>
      </c>
      <c r="F51" s="118">
        <f>IFERROR(VLOOKUP(B51,'AllFundsBudgetByAccount (not us'!A:E,5,0),0)</f>
        <v>0</v>
      </c>
      <c r="G51" s="118">
        <f>IFERROR(VLOOKUP(B51,'AllFundsBudgetByAccount (not us'!A:H,8,0),0)</f>
        <v>0</v>
      </c>
      <c r="H51" s="118">
        <f>IFERROR(VLOOKUP(B51,'AllFundsBudgetByAccount (not us'!A:J,10,0),0)</f>
        <v>0</v>
      </c>
      <c r="I51" s="118">
        <f>IFERROR(VLOOKUP(B51,'AllFundsBudgetByAccount (not us'!A:K,11,0),0)</f>
        <v>0</v>
      </c>
      <c r="J51" s="118">
        <f>IFERROR(VLOOKUP(B51,'AllFundsBudgetByAccount (not us'!A:N,14,0),0)</f>
        <v>0</v>
      </c>
      <c r="K51" s="118">
        <f>IFERROR(VLOOKUP(B51,'AllFundsBudgetByAccount (not us'!A:F,6,0),0)</f>
        <v>0</v>
      </c>
      <c r="L51" s="118">
        <f>IFERROR(VLOOKUP(B51,'AllFundsBudgetByAccount (not us'!A:Q,17,0),0)</f>
        <v>0</v>
      </c>
      <c r="M51" s="118">
        <f>IFERROR(VLOOKUP(B51,'AllFundsBudgetByAccount (not us'!A:R,18,0),0)</f>
        <v>0</v>
      </c>
      <c r="N51" s="118">
        <f>IFERROR(VLOOKUP(B51,'AllFundsBudgetByAccount (not us'!A:T,20,0),0)</f>
        <v>24500</v>
      </c>
      <c r="O51" s="118">
        <f>IFERROR(VLOOKUP(B51,'AllFundsBudgetByAccount (not us'!A:G,7,0),0)</f>
        <v>0</v>
      </c>
      <c r="P51" s="118">
        <f>IFERROR(VLOOKUP(B51,'AllFundsBudgetByAccount (not us'!A:I,9,0),0)</f>
        <v>10000</v>
      </c>
      <c r="Q51" s="118">
        <f>IFERROR(VLOOKUP(B51,'AllFundsBudgetByAccount (not us'!A:L,12,0),0)</f>
        <v>0</v>
      </c>
      <c r="R51" s="118">
        <f>IFERROR(VLOOKUP(B51,'AllFundsBudgetByAccount (not us'!A:M,13,0),0)</f>
        <v>0</v>
      </c>
      <c r="S51" s="118">
        <f>IFERROR(VLOOKUP(B51,'AllFundsBudgetByAccount (not us'!A:P,16,0),0)</f>
        <v>7000</v>
      </c>
      <c r="T51" s="118">
        <f>IFERROR(VLOOKUP(B51,'AllFundsBudgetByAccount (not us'!A:S,19,0),0)</f>
        <v>5000</v>
      </c>
      <c r="U51" s="119">
        <f t="shared" si="0"/>
        <v>49000</v>
      </c>
      <c r="V51" s="118">
        <v>13431</v>
      </c>
      <c r="W51" s="26">
        <f t="shared" si="1"/>
        <v>35569</v>
      </c>
      <c r="X51" s="23">
        <f t="shared" si="2"/>
        <v>2.648276375549103</v>
      </c>
      <c r="Y51" s="23"/>
      <c r="Z51" s="4"/>
      <c r="AA51" s="3"/>
    </row>
    <row r="52" spans="1:27" ht="12" hidden="1" customHeight="1" x14ac:dyDescent="0.2">
      <c r="A52" s="3">
        <v>523402</v>
      </c>
      <c r="B52" s="30">
        <v>523402</v>
      </c>
      <c r="C52" s="29" t="s">
        <v>37</v>
      </c>
      <c r="D52" s="118">
        <f>IFERROR(VLOOKUP(B52,'AllFundsBudgetByAccount (not us'!A:C,3,0),0)</f>
        <v>0</v>
      </c>
      <c r="E52" s="118">
        <f>IFERROR(VLOOKUP(B52,'AllFundsBudgetByAccount (not us'!A:D,4,0),0)</f>
        <v>0</v>
      </c>
      <c r="F52" s="118">
        <f>IFERROR(VLOOKUP(B52,'AllFundsBudgetByAccount (not us'!A:E,5,0),0)</f>
        <v>0</v>
      </c>
      <c r="G52" s="118">
        <f>IFERROR(VLOOKUP(B52,'AllFundsBudgetByAccount (not us'!A:H,8,0),0)</f>
        <v>0</v>
      </c>
      <c r="H52" s="118">
        <f>IFERROR(VLOOKUP(B52,'AllFundsBudgetByAccount (not us'!A:J,10,0),0)</f>
        <v>0</v>
      </c>
      <c r="I52" s="118">
        <f>IFERROR(VLOOKUP(B52,'AllFundsBudgetByAccount (not us'!A:K,11,0),0)</f>
        <v>0</v>
      </c>
      <c r="J52" s="118">
        <f>IFERROR(VLOOKUP(B52,'AllFundsBudgetByAccount (not us'!A:N,14,0),0)</f>
        <v>0</v>
      </c>
      <c r="K52" s="118">
        <f>IFERROR(VLOOKUP(B52,'AllFundsBudgetByAccount (not us'!A:F,6,0),0)</f>
        <v>0</v>
      </c>
      <c r="L52" s="118">
        <f>IFERROR(VLOOKUP(B52,'AllFundsBudgetByAccount (not us'!A:Q,17,0),0)</f>
        <v>0</v>
      </c>
      <c r="M52" s="118">
        <f>IFERROR(VLOOKUP(B52,'AllFundsBudgetByAccount (not us'!A:R,18,0),0)</f>
        <v>0</v>
      </c>
      <c r="N52" s="118">
        <f>IFERROR(VLOOKUP(B52,'AllFundsBudgetByAccount (not us'!A:T,20,0),0)</f>
        <v>0</v>
      </c>
      <c r="O52" s="118">
        <f>IFERROR(VLOOKUP(B52,'AllFundsBudgetByAccount (not us'!A:G,7,0),0)</f>
        <v>0</v>
      </c>
      <c r="P52" s="118">
        <f>IFERROR(VLOOKUP(B52,'AllFundsBudgetByAccount (not us'!A:I,9,0),0)</f>
        <v>0</v>
      </c>
      <c r="Q52" s="118">
        <f>IFERROR(VLOOKUP(B52,'AllFundsBudgetByAccount (not us'!A:L,12,0),0)</f>
        <v>0</v>
      </c>
      <c r="R52" s="118">
        <f>IFERROR(VLOOKUP(B52,'AllFundsBudgetByAccount (not us'!A:M,13,0),0)</f>
        <v>0</v>
      </c>
      <c r="S52" s="118">
        <f>IFERROR(VLOOKUP(B52,'AllFundsBudgetByAccount (not us'!A:P,16,0),0)</f>
        <v>0</v>
      </c>
      <c r="T52" s="118">
        <f>IFERROR(VLOOKUP(B52,'AllFundsBudgetByAccount (not us'!A:S,19,0),0)</f>
        <v>0</v>
      </c>
      <c r="U52" s="119">
        <f t="shared" si="0"/>
        <v>0</v>
      </c>
      <c r="V52" s="118">
        <v>0</v>
      </c>
      <c r="W52" s="118">
        <f t="shared" si="1"/>
        <v>0</v>
      </c>
      <c r="X52" s="23">
        <f t="shared" si="2"/>
        <v>1</v>
      </c>
      <c r="Y52" s="23"/>
      <c r="Z52" s="4"/>
      <c r="AA52" s="3"/>
    </row>
    <row r="53" spans="1:27" ht="12" customHeight="1" x14ac:dyDescent="0.2">
      <c r="A53" s="3">
        <v>523501</v>
      </c>
      <c r="B53" s="30">
        <v>523501</v>
      </c>
      <c r="C53" s="29" t="s">
        <v>26</v>
      </c>
      <c r="D53" s="118">
        <f>IFERROR(VLOOKUP(B53,'AllFundsBudgetByAccount (not us'!A:C,3,0),0)</f>
        <v>10000</v>
      </c>
      <c r="E53" s="118">
        <f>IFERROR(VLOOKUP(B53,'AllFundsBudgetByAccount (not us'!A:D,4,0),0)</f>
        <v>25000</v>
      </c>
      <c r="F53" s="118">
        <f>IFERROR(VLOOKUP(B53,'AllFundsBudgetByAccount (not us'!A:E,5,0),0)</f>
        <v>9926</v>
      </c>
      <c r="G53" s="118">
        <f>IFERROR(VLOOKUP(B53,'AllFundsBudgetByAccount (not us'!A:H,8,0),0)</f>
        <v>11500</v>
      </c>
      <c r="H53" s="118">
        <f>IFERROR(VLOOKUP(B53,'AllFundsBudgetByAccount (not us'!A:J,10,0),0)</f>
        <v>6000</v>
      </c>
      <c r="I53" s="118">
        <f>IFERROR(VLOOKUP(B53,'AllFundsBudgetByAccount (not us'!A:K,11,0),0)</f>
        <v>12869</v>
      </c>
      <c r="J53" s="118">
        <f>IFERROR(VLOOKUP(B53,'AllFundsBudgetByAccount (not us'!A:N,14,0),0)</f>
        <v>18000</v>
      </c>
      <c r="K53" s="118">
        <f>IFERROR(VLOOKUP(B53,'AllFundsBudgetByAccount (not us'!A:F,6,0),0)</f>
        <v>7100</v>
      </c>
      <c r="L53" s="118">
        <f>IFERROR(VLOOKUP(B53,'AllFundsBudgetByAccount (not us'!A:Q,17,0),0)</f>
        <v>0</v>
      </c>
      <c r="M53" s="118">
        <f>IFERROR(VLOOKUP(B53,'AllFundsBudgetByAccount (not us'!A:R,18,0),0)</f>
        <v>18191</v>
      </c>
      <c r="N53" s="118">
        <f>IFERROR(VLOOKUP(B53,'AllFundsBudgetByAccount (not us'!A:T,20,0),0)</f>
        <v>474155</v>
      </c>
      <c r="O53" s="118">
        <f>IFERROR(VLOOKUP(B53,'AllFundsBudgetByAccount (not us'!A:G,7,0),0)</f>
        <v>22883</v>
      </c>
      <c r="P53" s="118">
        <f>IFERROR(VLOOKUP(B53,'AllFundsBudgetByAccount (not us'!A:I,9,0),0)</f>
        <v>68000</v>
      </c>
      <c r="Q53" s="118">
        <f>IFERROR(VLOOKUP(B53,'AllFundsBudgetByAccount (not us'!A:L,12,0),0)</f>
        <v>182686</v>
      </c>
      <c r="R53" s="118">
        <f>IFERROR(VLOOKUP(B53,'AllFundsBudgetByAccount (not us'!A:M,13,0),0)</f>
        <v>50000</v>
      </c>
      <c r="S53" s="118">
        <f>IFERROR(VLOOKUP(B53,'AllFundsBudgetByAccount (not us'!A:P,16,0),0)</f>
        <v>22000</v>
      </c>
      <c r="T53" s="118">
        <f>IFERROR(VLOOKUP(B53,'AllFundsBudgetByAccount (not us'!A:S,19,0),0)</f>
        <v>5000</v>
      </c>
      <c r="U53" s="119">
        <f t="shared" si="0"/>
        <v>943310</v>
      </c>
      <c r="V53" s="118">
        <v>449193</v>
      </c>
      <c r="W53" s="26">
        <f t="shared" si="1"/>
        <v>494117</v>
      </c>
      <c r="X53" s="23">
        <f t="shared" si="2"/>
        <v>1.1000104632084649</v>
      </c>
      <c r="Y53" s="23"/>
      <c r="Z53" s="4"/>
      <c r="AA53" s="3"/>
    </row>
    <row r="54" spans="1:27" ht="12" customHeight="1" x14ac:dyDescent="0.2">
      <c r="A54" s="3">
        <v>523601</v>
      </c>
      <c r="B54" s="30">
        <v>523601</v>
      </c>
      <c r="C54" s="29" t="s">
        <v>27</v>
      </c>
      <c r="D54" s="118">
        <f>IFERROR(VLOOKUP(B54,'AllFundsBudgetByAccount (not us'!A:C,3,0),0)</f>
        <v>6000</v>
      </c>
      <c r="E54" s="118">
        <f>IFERROR(VLOOKUP(B54,'AllFundsBudgetByAccount (not us'!A:D,4,0),0)</f>
        <v>68000</v>
      </c>
      <c r="F54" s="118">
        <f>IFERROR(VLOOKUP(B54,'AllFundsBudgetByAccount (not us'!A:E,5,0),0)</f>
        <v>8500</v>
      </c>
      <c r="G54" s="118">
        <f>IFERROR(VLOOKUP(B54,'AllFundsBudgetByAccount (not us'!A:H,8,0),0)</f>
        <v>5700</v>
      </c>
      <c r="H54" s="118">
        <f>IFERROR(VLOOKUP(B54,'AllFundsBudgetByAccount (not us'!A:J,10,0),0)</f>
        <v>5100</v>
      </c>
      <c r="I54" s="118">
        <f>IFERROR(VLOOKUP(B54,'AllFundsBudgetByAccount (not us'!A:K,11,0),0)</f>
        <v>15000</v>
      </c>
      <c r="J54" s="118">
        <f>IFERROR(VLOOKUP(B54,'AllFundsBudgetByAccount (not us'!A:N,14,0),0)</f>
        <v>10000</v>
      </c>
      <c r="K54" s="118">
        <f>IFERROR(VLOOKUP(B54,'AllFundsBudgetByAccount (not us'!A:F,6,0),0)</f>
        <v>58488</v>
      </c>
      <c r="L54" s="118">
        <f>IFERROR(VLOOKUP(B54,'AllFundsBudgetByAccount (not us'!A:Q,17,0),0)</f>
        <v>1500</v>
      </c>
      <c r="M54" s="118">
        <f>IFERROR(VLOOKUP(B54,'AllFundsBudgetByAccount (not us'!A:R,18,0),0)</f>
        <v>6011</v>
      </c>
      <c r="N54" s="118">
        <f>IFERROR(VLOOKUP(B54,'AllFundsBudgetByAccount (not us'!A:T,20,0),0)</f>
        <v>339125</v>
      </c>
      <c r="O54" s="118">
        <f>IFERROR(VLOOKUP(B54,'AllFundsBudgetByAccount (not us'!A:G,7,0),0)</f>
        <v>63844</v>
      </c>
      <c r="P54" s="118">
        <f>IFERROR(VLOOKUP(B54,'AllFundsBudgetByAccount (not us'!A:I,9,0),0)</f>
        <v>26750</v>
      </c>
      <c r="Q54" s="118">
        <f>IFERROR(VLOOKUP(B54,'AllFundsBudgetByAccount (not us'!A:L,12,0),0)</f>
        <v>15575</v>
      </c>
      <c r="R54" s="118">
        <f>IFERROR(VLOOKUP(B54,'AllFundsBudgetByAccount (not us'!A:M,13,0),0)</f>
        <v>16000</v>
      </c>
      <c r="S54" s="118">
        <f>IFERROR(VLOOKUP(B54,'AllFundsBudgetByAccount (not us'!A:P,16,0),0)</f>
        <v>25000</v>
      </c>
      <c r="T54" s="118">
        <f>IFERROR(VLOOKUP(B54,'AllFundsBudgetByAccount (not us'!A:S,19,0),0)</f>
        <v>1500</v>
      </c>
      <c r="U54" s="119">
        <f t="shared" si="0"/>
        <v>672093</v>
      </c>
      <c r="V54" s="118">
        <v>294162.25</v>
      </c>
      <c r="W54" s="26">
        <f t="shared" si="1"/>
        <v>377930.75</v>
      </c>
      <c r="X54" s="23">
        <f t="shared" si="2"/>
        <v>1.2847697146727699</v>
      </c>
      <c r="Y54" s="23"/>
      <c r="Z54" s="4"/>
      <c r="AA54" s="3"/>
    </row>
    <row r="55" spans="1:27" ht="12" customHeight="1" x14ac:dyDescent="0.2">
      <c r="A55" s="3">
        <v>523701</v>
      </c>
      <c r="B55" s="30">
        <v>523701</v>
      </c>
      <c r="C55" s="29" t="s">
        <v>60</v>
      </c>
      <c r="D55" s="118">
        <f>IFERROR(VLOOKUP(B55,'AllFundsBudgetByAccount (not us'!A:C,3,0),0)</f>
        <v>5000</v>
      </c>
      <c r="E55" s="118">
        <f>IFERROR(VLOOKUP(B55,'AllFundsBudgetByAccount (not us'!A:D,4,0),0)</f>
        <v>2628</v>
      </c>
      <c r="F55" s="118">
        <f>IFERROR(VLOOKUP(B55,'AllFundsBudgetByAccount (not us'!A:E,5,0),0)</f>
        <v>0</v>
      </c>
      <c r="G55" s="118">
        <f>IFERROR(VLOOKUP(B55,'AllFundsBudgetByAccount (not us'!A:H,8,0),0)</f>
        <v>68500</v>
      </c>
      <c r="H55" s="118">
        <f>IFERROR(VLOOKUP(B55,'AllFundsBudgetByAccount (not us'!A:J,10,0),0)</f>
        <v>16000</v>
      </c>
      <c r="I55" s="118">
        <f>IFERROR(VLOOKUP(B55,'AllFundsBudgetByAccount (not us'!A:K,11,0),0)</f>
        <v>10000</v>
      </c>
      <c r="J55" s="118">
        <f>IFERROR(VLOOKUP(B55,'AllFundsBudgetByAccount (not us'!A:N,14,0),0)</f>
        <v>15000</v>
      </c>
      <c r="K55" s="118">
        <f>IFERROR(VLOOKUP(B55,'AllFundsBudgetByAccount (not us'!A:F,6,0),0)</f>
        <v>2610</v>
      </c>
      <c r="L55" s="118">
        <f>IFERROR(VLOOKUP(B55,'AllFundsBudgetByAccount (not us'!A:Q,17,0),0)</f>
        <v>0</v>
      </c>
      <c r="M55" s="118">
        <f>IFERROR(VLOOKUP(B55,'AllFundsBudgetByAccount (not us'!A:R,18,0),0)</f>
        <v>55050</v>
      </c>
      <c r="N55" s="118">
        <f>IFERROR(VLOOKUP(B55,'AllFundsBudgetByAccount (not us'!A:T,20,0),0)</f>
        <v>544038</v>
      </c>
      <c r="O55" s="118">
        <f>IFERROR(VLOOKUP(B55,'AllFundsBudgetByAccount (not us'!A:G,7,0),0)</f>
        <v>39805</v>
      </c>
      <c r="P55" s="118">
        <f>IFERROR(VLOOKUP(B55,'AllFundsBudgetByAccount (not us'!A:I,9,0),0)</f>
        <v>75400</v>
      </c>
      <c r="Q55" s="118">
        <f>IFERROR(VLOOKUP(B55,'AllFundsBudgetByAccount (not us'!A:L,12,0),0)</f>
        <v>214015</v>
      </c>
      <c r="R55" s="118">
        <f>IFERROR(VLOOKUP(B55,'AllFundsBudgetByAccount (not us'!A:M,13,0),0)</f>
        <v>15000</v>
      </c>
      <c r="S55" s="118">
        <f>IFERROR(VLOOKUP(B55,'AllFundsBudgetByAccount (not us'!A:P,16,0),0)</f>
        <v>11454</v>
      </c>
      <c r="T55" s="118">
        <f>IFERROR(VLOOKUP(B55,'AllFundsBudgetByAccount (not us'!A:S,19,0),0)</f>
        <v>3090</v>
      </c>
      <c r="U55" s="119">
        <f t="shared" si="0"/>
        <v>1077590</v>
      </c>
      <c r="V55" s="118">
        <v>432021</v>
      </c>
      <c r="W55" s="26">
        <f t="shared" si="1"/>
        <v>645569</v>
      </c>
      <c r="X55" s="23">
        <f t="shared" si="2"/>
        <v>1.4943000455996351</v>
      </c>
      <c r="Y55" s="23"/>
      <c r="Z55" s="4"/>
      <c r="AA55" s="3"/>
    </row>
    <row r="56" spans="1:27" ht="12" customHeight="1" x14ac:dyDescent="0.2">
      <c r="A56" s="3">
        <v>523801</v>
      </c>
      <c r="B56" s="30">
        <v>523801</v>
      </c>
      <c r="C56" s="29" t="s">
        <v>50</v>
      </c>
      <c r="D56" s="118">
        <f>IFERROR(VLOOKUP(B56,'AllFundsBudgetByAccount (not us'!A:C,3,0),0)</f>
        <v>650</v>
      </c>
      <c r="E56" s="118">
        <f>IFERROR(VLOOKUP(B56,'AllFundsBudgetByAccount (not us'!A:D,4,0),0)</f>
        <v>0</v>
      </c>
      <c r="F56" s="118">
        <f>IFERROR(VLOOKUP(B56,'AllFundsBudgetByAccount (not us'!A:E,5,0),0)</f>
        <v>0</v>
      </c>
      <c r="G56" s="118">
        <f>IFERROR(VLOOKUP(B56,'AllFundsBudgetByAccount (not us'!A:H,8,0),0)</f>
        <v>0</v>
      </c>
      <c r="H56" s="118">
        <f>IFERROR(VLOOKUP(B56,'AllFundsBudgetByAccount (not us'!A:J,10,0),0)</f>
        <v>1055</v>
      </c>
      <c r="I56" s="118">
        <f>IFERROR(VLOOKUP(B56,'AllFundsBudgetByAccount (not us'!A:K,11,0),0)</f>
        <v>0</v>
      </c>
      <c r="J56" s="118">
        <f>IFERROR(VLOOKUP(B56,'AllFundsBudgetByAccount (not us'!A:N,14,0),0)</f>
        <v>0</v>
      </c>
      <c r="K56" s="118">
        <f>IFERROR(VLOOKUP(B56,'AllFundsBudgetByAccount (not us'!A:F,6,0),0)</f>
        <v>0</v>
      </c>
      <c r="L56" s="118">
        <f>IFERROR(VLOOKUP(B56,'AllFundsBudgetByAccount (not us'!A:Q,17,0),0)</f>
        <v>0</v>
      </c>
      <c r="M56" s="118">
        <f>IFERROR(VLOOKUP(B56,'AllFundsBudgetByAccount (not us'!A:R,18,0),0)</f>
        <v>0</v>
      </c>
      <c r="N56" s="118">
        <f>IFERROR(VLOOKUP(B56,'AllFundsBudgetByAccount (not us'!A:T,20,0),0)</f>
        <v>21598</v>
      </c>
      <c r="O56" s="118">
        <f>IFERROR(VLOOKUP(B56,'AllFundsBudgetByAccount (not us'!A:G,7,0),0)</f>
        <v>0</v>
      </c>
      <c r="P56" s="118">
        <f>IFERROR(VLOOKUP(B56,'AllFundsBudgetByAccount (not us'!A:I,9,0),0)</f>
        <v>100</v>
      </c>
      <c r="Q56" s="118">
        <f>IFERROR(VLOOKUP(B56,'AllFundsBudgetByAccount (not us'!A:L,12,0),0)</f>
        <v>18826</v>
      </c>
      <c r="R56" s="118">
        <f>IFERROR(VLOOKUP(B56,'AllFundsBudgetByAccount (not us'!A:M,13,0),0)</f>
        <v>300</v>
      </c>
      <c r="S56" s="118">
        <f>IFERROR(VLOOKUP(B56,'AllFundsBudgetByAccount (not us'!A:P,16,0),0)</f>
        <v>0</v>
      </c>
      <c r="T56" s="118">
        <f>IFERROR(VLOOKUP(B56,'AllFundsBudgetByAccount (not us'!A:S,19,0),0)</f>
        <v>0</v>
      </c>
      <c r="U56" s="119">
        <f t="shared" si="0"/>
        <v>42529</v>
      </c>
      <c r="V56" s="118">
        <v>19842</v>
      </c>
      <c r="W56" s="26">
        <f t="shared" si="1"/>
        <v>22687</v>
      </c>
      <c r="X56" s="23">
        <f t="shared" si="2"/>
        <v>1.1433827235157745</v>
      </c>
      <c r="Y56" s="23"/>
      <c r="Z56" s="4"/>
      <c r="AA56" s="3"/>
    </row>
    <row r="57" spans="1:27" ht="12" customHeight="1" x14ac:dyDescent="0.2">
      <c r="A57" s="3">
        <v>523851</v>
      </c>
      <c r="B57" s="30">
        <v>523851</v>
      </c>
      <c r="C57" s="29" t="s">
        <v>46</v>
      </c>
      <c r="D57" s="118">
        <f>IFERROR(VLOOKUP(B57,'AllFundsBudgetByAccount (not us'!A:C,3,0),0)</f>
        <v>0</v>
      </c>
      <c r="E57" s="118">
        <f>IFERROR(VLOOKUP(B57,'AllFundsBudgetByAccount (not us'!A:D,4,0),0)</f>
        <v>0</v>
      </c>
      <c r="F57" s="118">
        <f>IFERROR(VLOOKUP(B57,'AllFundsBudgetByAccount (not us'!A:E,5,0),0)</f>
        <v>0</v>
      </c>
      <c r="G57" s="118">
        <f>IFERROR(VLOOKUP(B57,'AllFundsBudgetByAccount (not us'!A:H,8,0),0)</f>
        <v>100000</v>
      </c>
      <c r="H57" s="118">
        <f>IFERROR(VLOOKUP(B57,'AllFundsBudgetByAccount (not us'!A:J,10,0),0)</f>
        <v>0</v>
      </c>
      <c r="I57" s="118">
        <f>IFERROR(VLOOKUP(B57,'AllFundsBudgetByAccount (not us'!A:K,11,0),0)</f>
        <v>0</v>
      </c>
      <c r="J57" s="118">
        <f>IFERROR(VLOOKUP(B57,'AllFundsBudgetByAccount (not us'!A:N,14,0),0)</f>
        <v>0</v>
      </c>
      <c r="K57" s="118">
        <f>IFERROR(VLOOKUP(B57,'AllFundsBudgetByAccount (not us'!A:F,6,0),0)</f>
        <v>0</v>
      </c>
      <c r="L57" s="118">
        <f>IFERROR(VLOOKUP(B57,'AllFundsBudgetByAccount (not us'!A:Q,17,0),0)</f>
        <v>0</v>
      </c>
      <c r="M57" s="118">
        <f>IFERROR(VLOOKUP(B57,'AllFundsBudgetByAccount (not us'!A:R,18,0),0)</f>
        <v>0</v>
      </c>
      <c r="N57" s="118">
        <f>IFERROR(VLOOKUP(B57,'AllFundsBudgetByAccount (not us'!A:T,20,0),0)</f>
        <v>17140000</v>
      </c>
      <c r="O57" s="118">
        <f>IFERROR(VLOOKUP(B57,'AllFundsBudgetByAccount (not us'!A:G,7,0),0)</f>
        <v>17000000</v>
      </c>
      <c r="P57" s="118">
        <f>IFERROR(VLOOKUP(B57,'AllFundsBudgetByAccount (not us'!A:I,9,0),0)</f>
        <v>40000</v>
      </c>
      <c r="Q57" s="118">
        <f>IFERROR(VLOOKUP(B57,'AllFundsBudgetByAccount (not us'!A:L,12,0),0)</f>
        <v>0</v>
      </c>
      <c r="R57" s="118">
        <f>IFERROR(VLOOKUP(B57,'AllFundsBudgetByAccount (not us'!A:M,13,0),0)</f>
        <v>0</v>
      </c>
      <c r="S57" s="118">
        <f>IFERROR(VLOOKUP(B57,'AllFundsBudgetByAccount (not us'!A:P,16,0),0)</f>
        <v>0</v>
      </c>
      <c r="T57" s="118">
        <f>IFERROR(VLOOKUP(B57,'AllFundsBudgetByAccount (not us'!A:S,19,0),0)</f>
        <v>0</v>
      </c>
      <c r="U57" s="119">
        <f t="shared" si="0"/>
        <v>34280000</v>
      </c>
      <c r="V57" s="118">
        <v>15467000</v>
      </c>
      <c r="W57" s="26">
        <f t="shared" si="1"/>
        <v>18813000</v>
      </c>
      <c r="X57" s="23">
        <f t="shared" si="2"/>
        <v>1.2163315445787806</v>
      </c>
      <c r="Y57" s="23"/>
      <c r="Z57" s="4"/>
      <c r="AA57" s="3"/>
    </row>
    <row r="58" spans="1:27" ht="12" customHeight="1" x14ac:dyDescent="0.2">
      <c r="A58" s="3">
        <v>523902</v>
      </c>
      <c r="B58" s="30">
        <v>523902</v>
      </c>
      <c r="C58" s="29" t="s">
        <v>28</v>
      </c>
      <c r="D58" s="118">
        <f>IFERROR(VLOOKUP(B58,'AllFundsBudgetByAccount (not us'!A:C,3,0),0)</f>
        <v>0</v>
      </c>
      <c r="E58" s="118">
        <f>IFERROR(VLOOKUP(B58,'AllFundsBudgetByAccount (not us'!A:D,4,0),0)</f>
        <v>0</v>
      </c>
      <c r="F58" s="118">
        <f>IFERROR(VLOOKUP(B58,'AllFundsBudgetByAccount (not us'!A:E,5,0),0)</f>
        <v>0</v>
      </c>
      <c r="G58" s="118">
        <f>IFERROR(VLOOKUP(B58,'AllFundsBudgetByAccount (not us'!A:H,8,0),0)</f>
        <v>0</v>
      </c>
      <c r="H58" s="118">
        <f>IFERROR(VLOOKUP(B58,'AllFundsBudgetByAccount (not us'!A:J,10,0),0)</f>
        <v>0</v>
      </c>
      <c r="I58" s="118">
        <f>IFERROR(VLOOKUP(B58,'AllFundsBudgetByAccount (not us'!A:K,11,0),0)</f>
        <v>0</v>
      </c>
      <c r="J58" s="118">
        <f>IFERROR(VLOOKUP(B58,'AllFundsBudgetByAccount (not us'!A:N,14,0),0)</f>
        <v>0</v>
      </c>
      <c r="K58" s="118">
        <f>IFERROR(VLOOKUP(B58,'AllFundsBudgetByAccount (not us'!A:F,6,0),0)</f>
        <v>0</v>
      </c>
      <c r="L58" s="118">
        <f>IFERROR(VLOOKUP(B58,'AllFundsBudgetByAccount (not us'!A:Q,17,0),0)</f>
        <v>0</v>
      </c>
      <c r="M58" s="118">
        <f>IFERROR(VLOOKUP(B58,'AllFundsBudgetByAccount (not us'!A:R,18,0),0)</f>
        <v>9800</v>
      </c>
      <c r="N58" s="118">
        <f>IFERROR(VLOOKUP(B58,'AllFundsBudgetByAccount (not us'!A:T,20,0),0)</f>
        <v>9800</v>
      </c>
      <c r="O58" s="118">
        <f>IFERROR(VLOOKUP(B58,'AllFundsBudgetByAccount (not us'!A:G,7,0),0)</f>
        <v>0</v>
      </c>
      <c r="P58" s="118">
        <f>IFERROR(VLOOKUP(B58,'AllFundsBudgetByAccount (not us'!A:I,9,0),0)</f>
        <v>0</v>
      </c>
      <c r="Q58" s="118">
        <f>IFERROR(VLOOKUP(B58,'AllFundsBudgetByAccount (not us'!A:L,12,0),0)</f>
        <v>0</v>
      </c>
      <c r="R58" s="118">
        <f>IFERROR(VLOOKUP(B58,'AllFundsBudgetByAccount (not us'!A:M,13,0),0)</f>
        <v>0</v>
      </c>
      <c r="S58" s="118">
        <f>IFERROR(VLOOKUP(B58,'AllFundsBudgetByAccount (not us'!A:P,16,0),0)</f>
        <v>0</v>
      </c>
      <c r="T58" s="118">
        <f>IFERROR(VLOOKUP(B58,'AllFundsBudgetByAccount (not us'!A:S,19,0),0)</f>
        <v>0</v>
      </c>
      <c r="U58" s="119">
        <f t="shared" si="0"/>
        <v>19600</v>
      </c>
      <c r="V58" s="118">
        <v>9800</v>
      </c>
      <c r="W58" s="118">
        <f t="shared" si="1"/>
        <v>9800</v>
      </c>
      <c r="X58" s="118">
        <f t="shared" si="2"/>
        <v>1</v>
      </c>
      <c r="Y58" s="23"/>
      <c r="Z58" s="4"/>
      <c r="AA58" s="3"/>
    </row>
    <row r="59" spans="1:27" ht="12" customHeight="1" x14ac:dyDescent="0.2">
      <c r="A59" s="3">
        <v>531101</v>
      </c>
      <c r="B59" s="30">
        <v>531101</v>
      </c>
      <c r="C59" s="29" t="s">
        <v>29</v>
      </c>
      <c r="D59" s="118">
        <f>IFERROR(VLOOKUP(B59,'AllFundsBudgetByAccount (not us'!A:C,3,0),0)</f>
        <v>3500</v>
      </c>
      <c r="E59" s="118">
        <f>IFERROR(VLOOKUP(B59,'AllFundsBudgetByAccount (not us'!A:D,4,0),0)</f>
        <v>400</v>
      </c>
      <c r="F59" s="118">
        <f>IFERROR(VLOOKUP(B59,'AllFundsBudgetByAccount (not us'!A:E,5,0),0)</f>
        <v>2020</v>
      </c>
      <c r="G59" s="118">
        <f>IFERROR(VLOOKUP(B59,'AllFundsBudgetByAccount (not us'!A:H,8,0),0)</f>
        <v>5000</v>
      </c>
      <c r="H59" s="118">
        <f>IFERROR(VLOOKUP(B59,'AllFundsBudgetByAccount (not us'!A:J,10,0),0)</f>
        <v>850</v>
      </c>
      <c r="I59" s="118">
        <f>IFERROR(VLOOKUP(B59,'AllFundsBudgetByAccount (not us'!A:K,11,0),0)</f>
        <v>42129</v>
      </c>
      <c r="J59" s="118">
        <f>IFERROR(VLOOKUP(B59,'AllFundsBudgetByAccount (not us'!A:N,14,0),0)</f>
        <v>4000</v>
      </c>
      <c r="K59" s="118">
        <f>IFERROR(VLOOKUP(B59,'AllFundsBudgetByAccount (not us'!A:F,6,0),0)</f>
        <v>300</v>
      </c>
      <c r="L59" s="118">
        <f>IFERROR(VLOOKUP(B59,'AllFundsBudgetByAccount (not us'!A:Q,17,0),0)</f>
        <v>246000</v>
      </c>
      <c r="M59" s="118">
        <f>IFERROR(VLOOKUP(B59,'AllFundsBudgetByAccount (not us'!A:R,18,0),0)</f>
        <v>9854</v>
      </c>
      <c r="N59" s="118">
        <f>IFERROR(VLOOKUP(B59,'AllFundsBudgetByAccount (not us'!A:T,20,0),0)</f>
        <v>440268</v>
      </c>
      <c r="O59" s="118">
        <f>IFERROR(VLOOKUP(B59,'AllFundsBudgetByAccount (not us'!A:G,7,0),0)</f>
        <v>54436</v>
      </c>
      <c r="P59" s="118">
        <f>IFERROR(VLOOKUP(B59,'AllFundsBudgetByAccount (not us'!A:I,9,0),0)</f>
        <v>20200</v>
      </c>
      <c r="Q59" s="118">
        <f>IFERROR(VLOOKUP(B59,'AllFundsBudgetByAccount (not us'!A:L,12,0),0)</f>
        <v>23300</v>
      </c>
      <c r="R59" s="118">
        <f>IFERROR(VLOOKUP(B59,'AllFundsBudgetByAccount (not us'!A:M,13,0),0)</f>
        <v>20000</v>
      </c>
      <c r="S59" s="118">
        <f>IFERROR(VLOOKUP(B59,'AllFundsBudgetByAccount (not us'!A:P,16,0),0)</f>
        <v>5133</v>
      </c>
      <c r="T59" s="118">
        <f>IFERROR(VLOOKUP(B59,'AllFundsBudgetByAccount (not us'!A:S,19,0),0)</f>
        <v>1105</v>
      </c>
      <c r="U59" s="119">
        <f t="shared" si="0"/>
        <v>878495</v>
      </c>
      <c r="V59" s="118">
        <v>482742</v>
      </c>
      <c r="W59" s="26">
        <f t="shared" si="1"/>
        <v>395753</v>
      </c>
      <c r="X59" s="23">
        <f t="shared" si="2"/>
        <v>0.81980229605047827</v>
      </c>
      <c r="Y59" s="23"/>
      <c r="Z59" s="4"/>
      <c r="AA59" s="3"/>
    </row>
    <row r="60" spans="1:27" ht="12" customHeight="1" x14ac:dyDescent="0.2">
      <c r="A60" s="3">
        <v>531102</v>
      </c>
      <c r="B60" s="30">
        <v>531102</v>
      </c>
      <c r="C60" s="29" t="s">
        <v>51</v>
      </c>
      <c r="D60" s="118">
        <f>IFERROR(VLOOKUP(B60,'AllFundsBudgetByAccount (not us'!A:C,3,0),0)</f>
        <v>0</v>
      </c>
      <c r="E60" s="118">
        <f>IFERROR(VLOOKUP(B60,'AllFundsBudgetByAccount (not us'!A:D,4,0),0)</f>
        <v>0</v>
      </c>
      <c r="F60" s="118">
        <f>IFERROR(VLOOKUP(B60,'AllFundsBudgetByAccount (not us'!A:E,5,0),0)</f>
        <v>0</v>
      </c>
      <c r="G60" s="118">
        <f>IFERROR(VLOOKUP(B60,'AllFundsBudgetByAccount (not us'!A:H,8,0),0)</f>
        <v>0</v>
      </c>
      <c r="H60" s="118">
        <f>IFERROR(VLOOKUP(B60,'AllFundsBudgetByAccount (not us'!A:J,10,0),0)</f>
        <v>0</v>
      </c>
      <c r="I60" s="118">
        <f>IFERROR(VLOOKUP(B60,'AllFundsBudgetByAccount (not us'!A:K,11,0),0)</f>
        <v>0</v>
      </c>
      <c r="J60" s="118">
        <f>IFERROR(VLOOKUP(B60,'AllFundsBudgetByAccount (not us'!A:N,14,0),0)</f>
        <v>0</v>
      </c>
      <c r="K60" s="118">
        <f>IFERROR(VLOOKUP(B60,'AllFundsBudgetByAccount (not us'!A:F,6,0),0)</f>
        <v>0</v>
      </c>
      <c r="L60" s="118">
        <f>IFERROR(VLOOKUP(B60,'AllFundsBudgetByAccount (not us'!A:Q,17,0),0)</f>
        <v>0</v>
      </c>
      <c r="M60" s="118">
        <f>IFERROR(VLOOKUP(B60,'AllFundsBudgetByAccount (not us'!A:R,18,0),0)</f>
        <v>204177</v>
      </c>
      <c r="N60" s="118">
        <f>IFERROR(VLOOKUP(B60,'AllFundsBudgetByAccount (not us'!A:T,20,0),0)</f>
        <v>6488855</v>
      </c>
      <c r="O60" s="118">
        <f>IFERROR(VLOOKUP(B60,'AllFundsBudgetByAccount (not us'!A:G,7,0),0)</f>
        <v>0</v>
      </c>
      <c r="P60" s="118">
        <f>IFERROR(VLOOKUP(B60,'AllFundsBudgetByAccount (not us'!A:I,9,0),0)</f>
        <v>81700</v>
      </c>
      <c r="Q60" s="118">
        <f>IFERROR(VLOOKUP(B60,'AllFundsBudgetByAccount (not us'!A:L,12,0),0)</f>
        <v>6202030</v>
      </c>
      <c r="R60" s="118">
        <f>IFERROR(VLOOKUP(B60,'AllFundsBudgetByAccount (not us'!A:M,13,0),0)</f>
        <v>0</v>
      </c>
      <c r="S60" s="118">
        <f>IFERROR(VLOOKUP(B60,'AllFundsBudgetByAccount (not us'!A:P,16,0),0)</f>
        <v>948</v>
      </c>
      <c r="T60" s="118">
        <f>IFERROR(VLOOKUP(B60,'AllFundsBudgetByAccount (not us'!A:S,19,0),0)</f>
        <v>0</v>
      </c>
      <c r="U60" s="119">
        <f t="shared" si="0"/>
        <v>12977710</v>
      </c>
      <c r="V60" s="118">
        <v>7316541.0499999998</v>
      </c>
      <c r="W60" s="26">
        <f t="shared" si="1"/>
        <v>5661168.9500000002</v>
      </c>
      <c r="X60" s="23">
        <f t="shared" si="2"/>
        <v>0.77374935933695066</v>
      </c>
      <c r="Y60" s="23"/>
      <c r="Z60" s="4"/>
      <c r="AA60" s="3"/>
    </row>
    <row r="61" spans="1:27" ht="12" customHeight="1" x14ac:dyDescent="0.2">
      <c r="A61" s="3">
        <v>531103</v>
      </c>
      <c r="B61" s="30">
        <v>531103</v>
      </c>
      <c r="C61" s="29" t="s">
        <v>61</v>
      </c>
      <c r="D61" s="118">
        <f>IFERROR(VLOOKUP(B61,'AllFundsBudgetByAccount (not us'!A:C,3,0),0)</f>
        <v>0</v>
      </c>
      <c r="E61" s="118">
        <f>IFERROR(VLOOKUP(B61,'AllFundsBudgetByAccount (not us'!A:D,4,0),0)</f>
        <v>0</v>
      </c>
      <c r="F61" s="118">
        <f>IFERROR(VLOOKUP(B61,'AllFundsBudgetByAccount (not us'!A:E,5,0),0)</f>
        <v>0</v>
      </c>
      <c r="G61" s="118">
        <f>IFERROR(VLOOKUP(B61,'AllFundsBudgetByAccount (not us'!A:H,8,0),0)</f>
        <v>0</v>
      </c>
      <c r="H61" s="118">
        <f>IFERROR(VLOOKUP(B61,'AllFundsBudgetByAccount (not us'!A:J,10,0),0)</f>
        <v>0</v>
      </c>
      <c r="I61" s="118">
        <f>IFERROR(VLOOKUP(B61,'AllFundsBudgetByAccount (not us'!A:K,11,0),0)</f>
        <v>0</v>
      </c>
      <c r="J61" s="118">
        <f>IFERROR(VLOOKUP(B61,'AllFundsBudgetByAccount (not us'!A:N,14,0),0)</f>
        <v>0</v>
      </c>
      <c r="K61" s="118">
        <f>IFERROR(VLOOKUP(B61,'AllFundsBudgetByAccount (not us'!A:F,6,0),0)</f>
        <v>0</v>
      </c>
      <c r="L61" s="118">
        <f>IFERROR(VLOOKUP(B61,'AllFundsBudgetByAccount (not us'!A:Q,17,0),0)</f>
        <v>0</v>
      </c>
      <c r="M61" s="118">
        <f>IFERROR(VLOOKUP(B61,'AllFundsBudgetByAccount (not us'!A:R,18,0),0)</f>
        <v>0</v>
      </c>
      <c r="N61" s="118">
        <f>IFERROR(VLOOKUP(B61,'AllFundsBudgetByAccount (not us'!A:T,20,0),0)</f>
        <v>2264000</v>
      </c>
      <c r="O61" s="118">
        <f>IFERROR(VLOOKUP(B61,'AllFundsBudgetByAccount (not us'!A:G,7,0),0)</f>
        <v>0</v>
      </c>
      <c r="P61" s="118">
        <f>IFERROR(VLOOKUP(B61,'AllFundsBudgetByAccount (not us'!A:I,9,0),0)</f>
        <v>0</v>
      </c>
      <c r="Q61" s="118">
        <f>IFERROR(VLOOKUP(B61,'AllFundsBudgetByAccount (not us'!A:L,12,0),0)</f>
        <v>2264000</v>
      </c>
      <c r="R61" s="118">
        <f>IFERROR(VLOOKUP(B61,'AllFundsBudgetByAccount (not us'!A:M,13,0),0)</f>
        <v>0</v>
      </c>
      <c r="S61" s="118">
        <f>IFERROR(VLOOKUP(B61,'AllFundsBudgetByAccount (not us'!A:P,16,0),0)</f>
        <v>0</v>
      </c>
      <c r="T61" s="118">
        <f>IFERROR(VLOOKUP(B61,'AllFundsBudgetByAccount (not us'!A:S,19,0),0)</f>
        <v>0</v>
      </c>
      <c r="U61" s="119">
        <f t="shared" si="0"/>
        <v>4528000</v>
      </c>
      <c r="V61" s="118">
        <v>2020000</v>
      </c>
      <c r="W61" s="26">
        <f t="shared" si="1"/>
        <v>2508000</v>
      </c>
      <c r="X61" s="23">
        <f t="shared" si="2"/>
        <v>1.2415841584158416</v>
      </c>
      <c r="Y61" s="23"/>
      <c r="Z61" s="4"/>
      <c r="AA61" s="3"/>
    </row>
    <row r="62" spans="1:27" ht="12" customHeight="1" x14ac:dyDescent="0.2">
      <c r="A62" s="3">
        <v>531105</v>
      </c>
      <c r="B62" s="30">
        <v>531105</v>
      </c>
      <c r="C62" s="29" t="s">
        <v>30</v>
      </c>
      <c r="D62" s="118">
        <f>IFERROR(VLOOKUP(B62,'AllFundsBudgetByAccount (not us'!A:C,3,0),0)</f>
        <v>420</v>
      </c>
      <c r="E62" s="118">
        <f>IFERROR(VLOOKUP(B62,'AllFundsBudgetByAccount (not us'!A:D,4,0),0)</f>
        <v>60</v>
      </c>
      <c r="F62" s="118">
        <f>IFERROR(VLOOKUP(B62,'AllFundsBudgetByAccount (not us'!A:E,5,0),0)</f>
        <v>1257</v>
      </c>
      <c r="G62" s="118">
        <f>IFERROR(VLOOKUP(B62,'AllFundsBudgetByAccount (not us'!A:H,8,0),0)</f>
        <v>483</v>
      </c>
      <c r="H62" s="118">
        <f>IFERROR(VLOOKUP(B62,'AllFundsBudgetByAccount (not us'!A:J,10,0),0)</f>
        <v>0</v>
      </c>
      <c r="I62" s="118">
        <f>IFERROR(VLOOKUP(B62,'AllFundsBudgetByAccount (not us'!A:K,11,0),0)</f>
        <v>472</v>
      </c>
      <c r="J62" s="118">
        <f>IFERROR(VLOOKUP(B62,'AllFundsBudgetByAccount (not us'!A:N,14,0),0)</f>
        <v>0</v>
      </c>
      <c r="K62" s="118">
        <f>IFERROR(VLOOKUP(B62,'AllFundsBudgetByAccount (not us'!A:F,6,0),0)</f>
        <v>0</v>
      </c>
      <c r="L62" s="118">
        <f>IFERROR(VLOOKUP(B62,'AllFundsBudgetByAccount (not us'!A:Q,17,0),0)</f>
        <v>0</v>
      </c>
      <c r="M62" s="118">
        <f>IFERROR(VLOOKUP(B62,'AllFundsBudgetByAccount (not us'!A:R,18,0),0)</f>
        <v>106</v>
      </c>
      <c r="N62" s="118">
        <f>IFERROR(VLOOKUP(B62,'AllFundsBudgetByAccount (not us'!A:T,20,0),0)</f>
        <v>6645</v>
      </c>
      <c r="O62" s="118">
        <f>IFERROR(VLOOKUP(B62,'AllFundsBudgetByAccount (not us'!A:G,7,0),0)</f>
        <v>375</v>
      </c>
      <c r="P62" s="118">
        <f>IFERROR(VLOOKUP(B62,'AllFundsBudgetByAccount (not us'!A:I,9,0),0)</f>
        <v>2000</v>
      </c>
      <c r="Q62" s="118">
        <f>IFERROR(VLOOKUP(B62,'AllFundsBudgetByAccount (not us'!A:L,12,0),0)</f>
        <v>400</v>
      </c>
      <c r="R62" s="118">
        <f>IFERROR(VLOOKUP(B62,'AllFundsBudgetByAccount (not us'!A:M,13,0),0)</f>
        <v>215</v>
      </c>
      <c r="S62" s="118">
        <f>IFERROR(VLOOKUP(B62,'AllFundsBudgetByAccount (not us'!A:P,16,0),0)</f>
        <v>250</v>
      </c>
      <c r="T62" s="118">
        <f>IFERROR(VLOOKUP(B62,'AllFundsBudgetByAccount (not us'!A:S,19,0),0)</f>
        <v>200</v>
      </c>
      <c r="U62" s="119">
        <f t="shared" si="0"/>
        <v>12883</v>
      </c>
      <c r="V62" s="118">
        <v>6735</v>
      </c>
      <c r="W62" s="26">
        <f t="shared" si="1"/>
        <v>6148</v>
      </c>
      <c r="X62" s="23">
        <f t="shared" si="2"/>
        <v>0.91284335560504826</v>
      </c>
      <c r="Y62" s="23"/>
      <c r="Z62" s="4"/>
      <c r="AA62" s="3"/>
    </row>
    <row r="63" spans="1:27" ht="12" customHeight="1" x14ac:dyDescent="0.2">
      <c r="A63" s="3">
        <v>531106</v>
      </c>
      <c r="B63" s="30">
        <v>531106</v>
      </c>
      <c r="C63" s="29" t="s">
        <v>99</v>
      </c>
      <c r="D63" s="118">
        <f>IFERROR(VLOOKUP(B63,'AllFundsBudgetByAccount (not us'!A:C,3,0),0)</f>
        <v>0</v>
      </c>
      <c r="E63" s="118">
        <f>IFERROR(VLOOKUP(B63,'AllFundsBudgetByAccount (not us'!A:D,4,0),0)</f>
        <v>0</v>
      </c>
      <c r="F63" s="118">
        <f>IFERROR(VLOOKUP(B63,'AllFundsBudgetByAccount (not us'!A:E,5,0),0)</f>
        <v>0</v>
      </c>
      <c r="G63" s="118">
        <f>IFERROR(VLOOKUP(B63,'AllFundsBudgetByAccount (not us'!A:H,8,0),0)</f>
        <v>0</v>
      </c>
      <c r="H63" s="118">
        <f>IFERROR(VLOOKUP(B63,'AllFundsBudgetByAccount (not us'!A:J,10,0),0)</f>
        <v>0</v>
      </c>
      <c r="I63" s="118">
        <f>IFERROR(VLOOKUP(B63,'AllFundsBudgetByAccount (not us'!A:K,11,0),0)</f>
        <v>0</v>
      </c>
      <c r="J63" s="118">
        <f>IFERROR(VLOOKUP(B63,'AllFundsBudgetByAccount (not us'!A:N,14,0),0)</f>
        <v>0</v>
      </c>
      <c r="K63" s="118">
        <f>IFERROR(VLOOKUP(B63,'AllFundsBudgetByAccount (not us'!A:F,6,0),0)</f>
        <v>0</v>
      </c>
      <c r="L63" s="118">
        <f>IFERROR(VLOOKUP(B63,'AllFundsBudgetByAccount (not us'!A:Q,17,0),0)</f>
        <v>0</v>
      </c>
      <c r="M63" s="118">
        <f>IFERROR(VLOOKUP(B63,'AllFundsBudgetByAccount (not us'!A:R,18,0),0)</f>
        <v>0</v>
      </c>
      <c r="N63" s="118">
        <f>IFERROR(VLOOKUP(B63,'AllFundsBudgetByAccount (not us'!A:T,20,0),0)</f>
        <v>1888500</v>
      </c>
      <c r="O63" s="118">
        <f>IFERROR(VLOOKUP(B63,'AllFundsBudgetByAccount (not us'!A:G,7,0),0)</f>
        <v>0</v>
      </c>
      <c r="P63" s="118">
        <f>IFERROR(VLOOKUP(B63,'AllFundsBudgetByAccount (not us'!A:I,9,0),0)</f>
        <v>1888500</v>
      </c>
      <c r="Q63" s="118">
        <f>IFERROR(VLOOKUP(B63,'AllFundsBudgetByAccount (not us'!A:L,12,0),0)</f>
        <v>0</v>
      </c>
      <c r="R63" s="118">
        <f>IFERROR(VLOOKUP(B63,'AllFundsBudgetByAccount (not us'!A:M,13,0),0)</f>
        <v>0</v>
      </c>
      <c r="S63" s="118">
        <f>IFERROR(VLOOKUP(B63,'AllFundsBudgetByAccount (not us'!A:P,16,0),0)</f>
        <v>0</v>
      </c>
      <c r="T63" s="118">
        <f>IFERROR(VLOOKUP(B63,'AllFundsBudgetByAccount (not us'!A:S,19,0),0)</f>
        <v>0</v>
      </c>
      <c r="U63" s="119">
        <f t="shared" si="0"/>
        <v>3777000</v>
      </c>
      <c r="V63" s="118">
        <v>1888500</v>
      </c>
      <c r="W63" s="118">
        <f t="shared" si="1"/>
        <v>1888500</v>
      </c>
      <c r="X63" s="118">
        <f t="shared" si="2"/>
        <v>1</v>
      </c>
      <c r="Y63" s="23"/>
      <c r="Z63" s="4"/>
      <c r="AA63" s="3"/>
    </row>
    <row r="64" spans="1:27" ht="12" customHeight="1" x14ac:dyDescent="0.2">
      <c r="A64" s="3">
        <v>531107</v>
      </c>
      <c r="B64" s="30">
        <v>531107</v>
      </c>
      <c r="C64" s="29" t="s">
        <v>52</v>
      </c>
      <c r="D64" s="118">
        <f>IFERROR(VLOOKUP(B64,'AllFundsBudgetByAccount (not us'!A:C,3,0),0)</f>
        <v>0</v>
      </c>
      <c r="E64" s="118">
        <f>IFERROR(VLOOKUP(B64,'AllFundsBudgetByAccount (not us'!A:D,4,0),0)</f>
        <v>0</v>
      </c>
      <c r="F64" s="118">
        <f>IFERROR(VLOOKUP(B64,'AllFundsBudgetByAccount (not us'!A:E,5,0),0)</f>
        <v>0</v>
      </c>
      <c r="G64" s="118">
        <f>IFERROR(VLOOKUP(B64,'AllFundsBudgetByAccount (not us'!A:H,8,0),0)</f>
        <v>0</v>
      </c>
      <c r="H64" s="118">
        <f>IFERROR(VLOOKUP(B64,'AllFundsBudgetByAccount (not us'!A:J,10,0),0)</f>
        <v>0</v>
      </c>
      <c r="I64" s="118">
        <f>IFERROR(VLOOKUP(B64,'AllFundsBudgetByAccount (not us'!A:K,11,0),0)</f>
        <v>0</v>
      </c>
      <c r="J64" s="118">
        <f>IFERROR(VLOOKUP(B64,'AllFundsBudgetByAccount (not us'!A:N,14,0),0)</f>
        <v>0</v>
      </c>
      <c r="K64" s="118">
        <f>IFERROR(VLOOKUP(B64,'AllFundsBudgetByAccount (not us'!A:F,6,0),0)</f>
        <v>0</v>
      </c>
      <c r="L64" s="118">
        <f>IFERROR(VLOOKUP(B64,'AllFundsBudgetByAccount (not us'!A:Q,17,0),0)</f>
        <v>0</v>
      </c>
      <c r="M64" s="118">
        <f>IFERROR(VLOOKUP(B64,'AllFundsBudgetByAccount (not us'!A:R,18,0),0)</f>
        <v>0</v>
      </c>
      <c r="N64" s="118">
        <f>IFERROR(VLOOKUP(B64,'AllFundsBudgetByAccount (not us'!A:T,20,0),0)</f>
        <v>1760400</v>
      </c>
      <c r="O64" s="118">
        <f>IFERROR(VLOOKUP(B64,'AllFundsBudgetByAccount (not us'!A:G,7,0),0)</f>
        <v>0</v>
      </c>
      <c r="P64" s="118">
        <f>IFERROR(VLOOKUP(B64,'AllFundsBudgetByAccount (not us'!A:I,9,0),0)</f>
        <v>0</v>
      </c>
      <c r="Q64" s="118">
        <f>IFERROR(VLOOKUP(B64,'AllFundsBudgetByAccount (not us'!A:L,12,0),0)</f>
        <v>1760400</v>
      </c>
      <c r="R64" s="118">
        <f>IFERROR(VLOOKUP(B64,'AllFundsBudgetByAccount (not us'!A:M,13,0),0)</f>
        <v>0</v>
      </c>
      <c r="S64" s="118">
        <f>IFERROR(VLOOKUP(B64,'AllFundsBudgetByAccount (not us'!A:P,16,0),0)</f>
        <v>0</v>
      </c>
      <c r="T64" s="118">
        <f>IFERROR(VLOOKUP(B64,'AllFundsBudgetByAccount (not us'!A:S,19,0),0)</f>
        <v>0</v>
      </c>
      <c r="U64" s="119">
        <f t="shared" si="0"/>
        <v>3520800</v>
      </c>
      <c r="V64" s="118">
        <v>2250000</v>
      </c>
      <c r="W64" s="26">
        <f t="shared" si="1"/>
        <v>1270800</v>
      </c>
      <c r="X64" s="23">
        <f t="shared" si="2"/>
        <v>0.56479999999999997</v>
      </c>
      <c r="Y64" s="23"/>
      <c r="Z64" s="4"/>
      <c r="AA64" s="3"/>
    </row>
    <row r="65" spans="1:27" ht="12" customHeight="1" x14ac:dyDescent="0.2">
      <c r="A65" s="3">
        <v>531211</v>
      </c>
      <c r="B65" s="30">
        <v>531211</v>
      </c>
      <c r="C65" s="29" t="s">
        <v>53</v>
      </c>
      <c r="D65" s="118">
        <f>IFERROR(VLOOKUP(B65,'AllFundsBudgetByAccount (not us'!A:C,3,0),0)</f>
        <v>0</v>
      </c>
      <c r="E65" s="118">
        <f>IFERROR(VLOOKUP(B65,'AllFundsBudgetByAccount (not us'!A:D,4,0),0)</f>
        <v>0</v>
      </c>
      <c r="F65" s="118">
        <f>IFERROR(VLOOKUP(B65,'AllFundsBudgetByAccount (not us'!A:E,5,0),0)</f>
        <v>0</v>
      </c>
      <c r="G65" s="118">
        <f>IFERROR(VLOOKUP(B65,'AllFundsBudgetByAccount (not us'!A:H,8,0),0)</f>
        <v>0</v>
      </c>
      <c r="H65" s="118">
        <f>IFERROR(VLOOKUP(B65,'AllFundsBudgetByAccount (not us'!A:J,10,0),0)</f>
        <v>0</v>
      </c>
      <c r="I65" s="118">
        <f>IFERROR(VLOOKUP(B65,'AllFundsBudgetByAccount (not us'!A:K,11,0),0)</f>
        <v>0</v>
      </c>
      <c r="J65" s="118">
        <f>IFERROR(VLOOKUP(B65,'AllFundsBudgetByAccount (not us'!A:N,14,0),0)</f>
        <v>0</v>
      </c>
      <c r="K65" s="118">
        <f>IFERROR(VLOOKUP(B65,'AllFundsBudgetByAccount (not us'!A:F,6,0),0)</f>
        <v>0</v>
      </c>
      <c r="L65" s="118">
        <f>IFERROR(VLOOKUP(B65,'AllFundsBudgetByAccount (not us'!A:Q,17,0),0)</f>
        <v>0</v>
      </c>
      <c r="M65" s="118">
        <f>IFERROR(VLOOKUP(B65,'AllFundsBudgetByAccount (not us'!A:R,18,0),0)</f>
        <v>0</v>
      </c>
      <c r="N65" s="118">
        <f>IFERROR(VLOOKUP(B65,'AllFundsBudgetByAccount (not us'!A:T,20,0),0)</f>
        <v>1236000</v>
      </c>
      <c r="O65" s="118">
        <f>IFERROR(VLOOKUP(B65,'AllFundsBudgetByAccount (not us'!A:G,7,0),0)</f>
        <v>0</v>
      </c>
      <c r="P65" s="118">
        <f>IFERROR(VLOOKUP(B65,'AllFundsBudgetByAccount (not us'!A:I,9,0),0)</f>
        <v>0</v>
      </c>
      <c r="Q65" s="118">
        <f>IFERROR(VLOOKUP(B65,'AllFundsBudgetByAccount (not us'!A:L,12,0),0)</f>
        <v>1236000</v>
      </c>
      <c r="R65" s="118">
        <f>IFERROR(VLOOKUP(B65,'AllFundsBudgetByAccount (not us'!A:M,13,0),0)</f>
        <v>0</v>
      </c>
      <c r="S65" s="118">
        <f>IFERROR(VLOOKUP(B65,'AllFundsBudgetByAccount (not us'!A:P,16,0),0)</f>
        <v>0</v>
      </c>
      <c r="T65" s="118">
        <f>IFERROR(VLOOKUP(B65,'AllFundsBudgetByAccount (not us'!A:S,19,0),0)</f>
        <v>0</v>
      </c>
      <c r="U65" s="119">
        <f t="shared" si="0"/>
        <v>2472000</v>
      </c>
      <c r="V65" s="118">
        <v>1200000</v>
      </c>
      <c r="W65" s="26">
        <f t="shared" si="1"/>
        <v>1272000</v>
      </c>
      <c r="X65" s="23">
        <f t="shared" si="2"/>
        <v>1.06</v>
      </c>
      <c r="Y65" s="23"/>
      <c r="Z65" s="4"/>
      <c r="AA65" s="3"/>
    </row>
    <row r="66" spans="1:27" ht="12" customHeight="1" x14ac:dyDescent="0.2">
      <c r="A66" s="3">
        <v>531221</v>
      </c>
      <c r="B66" s="30">
        <v>531221</v>
      </c>
      <c r="C66" s="29" t="s">
        <v>54</v>
      </c>
      <c r="D66" s="118">
        <f>IFERROR(VLOOKUP(B66,'AllFundsBudgetByAccount (not us'!A:C,3,0),0)</f>
        <v>0</v>
      </c>
      <c r="E66" s="118">
        <f>IFERROR(VLOOKUP(B66,'AllFundsBudgetByAccount (not us'!A:D,4,0),0)</f>
        <v>0</v>
      </c>
      <c r="F66" s="118">
        <f>IFERROR(VLOOKUP(B66,'AllFundsBudgetByAccount (not us'!A:E,5,0),0)</f>
        <v>0</v>
      </c>
      <c r="G66" s="118">
        <f>IFERROR(VLOOKUP(B66,'AllFundsBudgetByAccount (not us'!A:H,8,0),0)</f>
        <v>0</v>
      </c>
      <c r="H66" s="118">
        <f>IFERROR(VLOOKUP(B66,'AllFundsBudgetByAccount (not us'!A:J,10,0),0)</f>
        <v>0</v>
      </c>
      <c r="I66" s="118">
        <f>IFERROR(VLOOKUP(B66,'AllFundsBudgetByAccount (not us'!A:K,11,0),0)</f>
        <v>0</v>
      </c>
      <c r="J66" s="118">
        <f>IFERROR(VLOOKUP(B66,'AllFundsBudgetByAccount (not us'!A:N,14,0),0)</f>
        <v>0</v>
      </c>
      <c r="K66" s="118">
        <f>IFERROR(VLOOKUP(B66,'AllFundsBudgetByAccount (not us'!A:F,6,0),0)</f>
        <v>0</v>
      </c>
      <c r="L66" s="118">
        <f>IFERROR(VLOOKUP(B66,'AllFundsBudgetByAccount (not us'!A:Q,17,0),0)</f>
        <v>0</v>
      </c>
      <c r="M66" s="118">
        <f>IFERROR(VLOOKUP(B66,'AllFundsBudgetByAccount (not us'!A:R,18,0),0)</f>
        <v>0</v>
      </c>
      <c r="N66" s="118">
        <f>IFERROR(VLOOKUP(B66,'AllFundsBudgetByAccount (not us'!A:T,20,0),0)</f>
        <v>75000</v>
      </c>
      <c r="O66" s="118">
        <f>IFERROR(VLOOKUP(B66,'AllFundsBudgetByAccount (not us'!A:G,7,0),0)</f>
        <v>0</v>
      </c>
      <c r="P66" s="118">
        <f>IFERROR(VLOOKUP(B66,'AllFundsBudgetByAccount (not us'!A:I,9,0),0)</f>
        <v>0</v>
      </c>
      <c r="Q66" s="118">
        <f>IFERROR(VLOOKUP(B66,'AllFundsBudgetByAccount (not us'!A:L,12,0),0)</f>
        <v>75000</v>
      </c>
      <c r="R66" s="118">
        <f>IFERROR(VLOOKUP(B66,'AllFundsBudgetByAccount (not us'!A:M,13,0),0)</f>
        <v>0</v>
      </c>
      <c r="S66" s="118">
        <f>IFERROR(VLOOKUP(B66,'AllFundsBudgetByAccount (not us'!A:P,16,0),0)</f>
        <v>0</v>
      </c>
      <c r="T66" s="118">
        <f>IFERROR(VLOOKUP(B66,'AllFundsBudgetByAccount (not us'!A:S,19,0),0)</f>
        <v>0</v>
      </c>
      <c r="U66" s="119">
        <f t="shared" si="0"/>
        <v>150000</v>
      </c>
      <c r="V66" s="118">
        <v>72000</v>
      </c>
      <c r="W66" s="26">
        <f t="shared" si="1"/>
        <v>78000</v>
      </c>
      <c r="X66" s="23">
        <f t="shared" si="2"/>
        <v>1.0833333333333333</v>
      </c>
      <c r="Y66" s="23"/>
      <c r="Z66" s="4"/>
      <c r="AA66" s="3"/>
    </row>
    <row r="67" spans="1:27" ht="12" customHeight="1" x14ac:dyDescent="0.2">
      <c r="A67" s="3">
        <v>531231</v>
      </c>
      <c r="B67" s="30">
        <v>531231</v>
      </c>
      <c r="C67" s="29" t="s">
        <v>55</v>
      </c>
      <c r="D67" s="118">
        <f>IFERROR(VLOOKUP(B67,'AllFundsBudgetByAccount (not us'!A:C,3,0),0)</f>
        <v>0</v>
      </c>
      <c r="E67" s="118">
        <f>IFERROR(VLOOKUP(B67,'AllFundsBudgetByAccount (not us'!A:D,4,0),0)</f>
        <v>0</v>
      </c>
      <c r="F67" s="118">
        <f>IFERROR(VLOOKUP(B67,'AllFundsBudgetByAccount (not us'!A:E,5,0),0)</f>
        <v>0</v>
      </c>
      <c r="G67" s="118">
        <f>IFERROR(VLOOKUP(B67,'AllFundsBudgetByAccount (not us'!A:H,8,0),0)</f>
        <v>0</v>
      </c>
      <c r="H67" s="118">
        <f>IFERROR(VLOOKUP(B67,'AllFundsBudgetByAccount (not us'!A:J,10,0),0)</f>
        <v>0</v>
      </c>
      <c r="I67" s="118">
        <f>IFERROR(VLOOKUP(B67,'AllFundsBudgetByAccount (not us'!A:K,11,0),0)</f>
        <v>0</v>
      </c>
      <c r="J67" s="118">
        <f>IFERROR(VLOOKUP(B67,'AllFundsBudgetByAccount (not us'!A:N,14,0),0)</f>
        <v>0</v>
      </c>
      <c r="K67" s="118">
        <f>IFERROR(VLOOKUP(B67,'AllFundsBudgetByAccount (not us'!A:F,6,0),0)</f>
        <v>0</v>
      </c>
      <c r="L67" s="118">
        <f>IFERROR(VLOOKUP(B67,'AllFundsBudgetByAccount (not us'!A:Q,17,0),0)</f>
        <v>0</v>
      </c>
      <c r="M67" s="118">
        <f>IFERROR(VLOOKUP(B67,'AllFundsBudgetByAccount (not us'!A:R,18,0),0)</f>
        <v>0</v>
      </c>
      <c r="N67" s="118">
        <f>IFERROR(VLOOKUP(B67,'AllFundsBudgetByAccount (not us'!A:T,20,0),0)</f>
        <v>2987000</v>
      </c>
      <c r="O67" s="118">
        <f>IFERROR(VLOOKUP(B67,'AllFundsBudgetByAccount (not us'!A:G,7,0),0)</f>
        <v>0</v>
      </c>
      <c r="P67" s="118">
        <f>IFERROR(VLOOKUP(B67,'AllFundsBudgetByAccount (not us'!A:I,9,0),0)</f>
        <v>0</v>
      </c>
      <c r="Q67" s="118">
        <f>IFERROR(VLOOKUP(B67,'AllFundsBudgetByAccount (not us'!A:L,12,0),0)</f>
        <v>2987000</v>
      </c>
      <c r="R67" s="118">
        <f>IFERROR(VLOOKUP(B67,'AllFundsBudgetByAccount (not us'!A:M,13,0),0)</f>
        <v>0</v>
      </c>
      <c r="S67" s="118">
        <f>IFERROR(VLOOKUP(B67,'AllFundsBudgetByAccount (not us'!A:P,16,0),0)</f>
        <v>0</v>
      </c>
      <c r="T67" s="118">
        <f>IFERROR(VLOOKUP(B67,'AllFundsBudgetByAccount (not us'!A:S,19,0),0)</f>
        <v>0</v>
      </c>
      <c r="U67" s="119">
        <f t="shared" si="0"/>
        <v>5974000</v>
      </c>
      <c r="V67" s="118">
        <v>2900000</v>
      </c>
      <c r="W67" s="26">
        <f t="shared" si="1"/>
        <v>3074000</v>
      </c>
      <c r="X67" s="23">
        <f t="shared" si="2"/>
        <v>1.06</v>
      </c>
      <c r="Y67" s="23"/>
      <c r="Z67" s="4"/>
      <c r="AA67" s="3"/>
    </row>
    <row r="68" spans="1:27" ht="12" customHeight="1" x14ac:dyDescent="0.2">
      <c r="B68" s="30">
        <v>531261</v>
      </c>
      <c r="C68" s="29" t="s">
        <v>98</v>
      </c>
      <c r="D68" s="118">
        <f>IFERROR(VLOOKUP(B68,'AllFundsBudgetByAccount (not us'!A:C,3,0),0)</f>
        <v>0</v>
      </c>
      <c r="E68" s="118">
        <f>IFERROR(VLOOKUP(B68,'AllFundsBudgetByAccount (not us'!A:D,4,0),0)</f>
        <v>0</v>
      </c>
      <c r="F68" s="118">
        <f>IFERROR(VLOOKUP(B68,'AllFundsBudgetByAccount (not us'!A:E,5,0),0)</f>
        <v>0</v>
      </c>
      <c r="G68" s="118">
        <f>IFERROR(VLOOKUP(B68,'AllFundsBudgetByAccount (not us'!A:H,8,0),0)</f>
        <v>0</v>
      </c>
      <c r="H68" s="118">
        <f>IFERROR(VLOOKUP(B68,'AllFundsBudgetByAccount (not us'!A:J,10,0),0)</f>
        <v>0</v>
      </c>
      <c r="I68" s="118">
        <f>IFERROR(VLOOKUP(B68,'AllFundsBudgetByAccount (not us'!A:K,11,0),0)</f>
        <v>0</v>
      </c>
      <c r="J68" s="118">
        <f>IFERROR(VLOOKUP(B68,'AllFundsBudgetByAccount (not us'!A:N,14,0),0)</f>
        <v>0</v>
      </c>
      <c r="K68" s="118">
        <f>IFERROR(VLOOKUP(B68,'AllFundsBudgetByAccount (not us'!A:F,6,0),0)</f>
        <v>0</v>
      </c>
      <c r="L68" s="118">
        <f>IFERROR(VLOOKUP(B68,'AllFundsBudgetByAccount (not us'!A:Q,17,0),0)</f>
        <v>0</v>
      </c>
      <c r="M68" s="118">
        <f>IFERROR(VLOOKUP(B68,'AllFundsBudgetByAccount (not us'!A:R,18,0),0)</f>
        <v>0</v>
      </c>
      <c r="N68" s="118">
        <f>IFERROR(VLOOKUP(B68,'AllFundsBudgetByAccount (not us'!A:T,20,0),0)</f>
        <v>667554</v>
      </c>
      <c r="O68" s="118">
        <f>IFERROR(VLOOKUP(B68,'AllFundsBudgetByAccount (not us'!A:G,7,0),0)</f>
        <v>0</v>
      </c>
      <c r="P68" s="118">
        <f>IFERROR(VLOOKUP(B68,'AllFundsBudgetByAccount (not us'!A:I,9,0),0)</f>
        <v>0</v>
      </c>
      <c r="Q68" s="118">
        <f>IFERROR(VLOOKUP(B68,'AllFundsBudgetByAccount (not us'!A:L,12,0),0)</f>
        <v>0</v>
      </c>
      <c r="R68" s="118">
        <f>IFERROR(VLOOKUP(B68,'AllFundsBudgetByAccount (not us'!A:M,13,0),0)</f>
        <v>0</v>
      </c>
      <c r="S68" s="118">
        <f>IFERROR(VLOOKUP(B68,'AllFundsBudgetByAccount (not us'!A:P,16,0),0)</f>
        <v>0</v>
      </c>
      <c r="T68" s="118">
        <f>IFERROR(VLOOKUP(B68,'AllFundsBudgetByAccount (not us'!A:S,19,0),0)</f>
        <v>0</v>
      </c>
      <c r="U68" s="119">
        <f t="shared" si="0"/>
        <v>667554</v>
      </c>
      <c r="V68" s="118">
        <v>1332446</v>
      </c>
      <c r="W68" s="26">
        <f t="shared" si="1"/>
        <v>-664892</v>
      </c>
      <c r="X68" s="23">
        <f t="shared" si="2"/>
        <v>-0.49900108522221537</v>
      </c>
      <c r="Y68" s="23"/>
      <c r="Z68" s="4"/>
      <c r="AA68" s="3"/>
    </row>
    <row r="69" spans="1:27" ht="12" customHeight="1" x14ac:dyDescent="0.2">
      <c r="A69" s="3">
        <v>531401</v>
      </c>
      <c r="B69" s="30">
        <v>531401</v>
      </c>
      <c r="C69" s="29" t="s">
        <v>31</v>
      </c>
      <c r="D69" s="118">
        <f>IFERROR(VLOOKUP(B69,'AllFundsBudgetByAccount (not us'!A:C,3,0),0)</f>
        <v>0</v>
      </c>
      <c r="E69" s="118">
        <f>IFERROR(VLOOKUP(B69,'AllFundsBudgetByAccount (not us'!A:D,4,0),0)</f>
        <v>0</v>
      </c>
      <c r="F69" s="118">
        <f>IFERROR(VLOOKUP(B69,'AllFundsBudgetByAccount (not us'!A:E,5,0),0)</f>
        <v>0</v>
      </c>
      <c r="G69" s="118">
        <f>IFERROR(VLOOKUP(B69,'AllFundsBudgetByAccount (not us'!A:H,8,0),0)</f>
        <v>0</v>
      </c>
      <c r="H69" s="118">
        <f>IFERROR(VLOOKUP(B69,'AllFundsBudgetByAccount (not us'!A:J,10,0),0)</f>
        <v>250</v>
      </c>
      <c r="I69" s="118">
        <f>IFERROR(VLOOKUP(B69,'AllFundsBudgetByAccount (not us'!A:K,11,0),0)</f>
        <v>0</v>
      </c>
      <c r="J69" s="118">
        <f>IFERROR(VLOOKUP(B69,'AllFundsBudgetByAccount (not us'!A:N,14,0),0)</f>
        <v>0</v>
      </c>
      <c r="K69" s="118">
        <f>IFERROR(VLOOKUP(B69,'AllFundsBudgetByAccount (not us'!A:F,6,0),0)</f>
        <v>0</v>
      </c>
      <c r="L69" s="118">
        <f>IFERROR(VLOOKUP(B69,'AllFundsBudgetByAccount (not us'!A:Q,17,0),0)</f>
        <v>0</v>
      </c>
      <c r="M69" s="118">
        <f>IFERROR(VLOOKUP(B69,'AllFundsBudgetByAccount (not us'!A:R,18,0),0)</f>
        <v>0</v>
      </c>
      <c r="N69" s="118">
        <f>IFERROR(VLOOKUP(B69,'AllFundsBudgetByAccount (not us'!A:T,20,0),0)</f>
        <v>250</v>
      </c>
      <c r="O69" s="118">
        <f>IFERROR(VLOOKUP(B69,'AllFundsBudgetByAccount (not us'!A:G,7,0),0)</f>
        <v>0</v>
      </c>
      <c r="P69" s="118">
        <f>IFERROR(VLOOKUP(B69,'AllFundsBudgetByAccount (not us'!A:I,9,0),0)</f>
        <v>0</v>
      </c>
      <c r="Q69" s="118">
        <f>IFERROR(VLOOKUP(B69,'AllFundsBudgetByAccount (not us'!A:L,12,0),0)</f>
        <v>0</v>
      </c>
      <c r="R69" s="118">
        <f>IFERROR(VLOOKUP(B69,'AllFundsBudgetByAccount (not us'!A:M,13,0),0)</f>
        <v>0</v>
      </c>
      <c r="S69" s="118">
        <f>IFERROR(VLOOKUP(B69,'AllFundsBudgetByAccount (not us'!A:P,16,0),0)</f>
        <v>0</v>
      </c>
      <c r="T69" s="118">
        <f>IFERROR(VLOOKUP(B69,'AllFundsBudgetByAccount (not us'!A:S,19,0),0)</f>
        <v>0</v>
      </c>
      <c r="U69" s="119">
        <f t="shared" si="0"/>
        <v>500</v>
      </c>
      <c r="V69" s="118">
        <v>250</v>
      </c>
      <c r="W69" s="118">
        <f t="shared" si="1"/>
        <v>250</v>
      </c>
      <c r="X69" s="118">
        <f t="shared" si="2"/>
        <v>1</v>
      </c>
      <c r="Y69" s="23"/>
      <c r="Z69" s="4"/>
      <c r="AA69" s="3"/>
    </row>
    <row r="70" spans="1:27" ht="12" customHeight="1" x14ac:dyDescent="0.2">
      <c r="A70" s="3">
        <v>531501</v>
      </c>
      <c r="B70" s="30">
        <v>531501</v>
      </c>
      <c r="C70" s="29" t="s">
        <v>62</v>
      </c>
      <c r="D70" s="118">
        <f>IFERROR(VLOOKUP(B70,'AllFundsBudgetByAccount (not us'!A:C,3,0),0)</f>
        <v>0</v>
      </c>
      <c r="E70" s="118">
        <f>IFERROR(VLOOKUP(B70,'AllFundsBudgetByAccount (not us'!A:D,4,0),0)</f>
        <v>0</v>
      </c>
      <c r="F70" s="118">
        <f>IFERROR(VLOOKUP(B70,'AllFundsBudgetByAccount (not us'!A:E,5,0),0)</f>
        <v>0</v>
      </c>
      <c r="G70" s="118">
        <f>IFERROR(VLOOKUP(B70,'AllFundsBudgetByAccount (not us'!A:H,8,0),0)</f>
        <v>0</v>
      </c>
      <c r="H70" s="118">
        <f>IFERROR(VLOOKUP(B70,'AllFundsBudgetByAccount (not us'!A:J,10,0),0)</f>
        <v>0</v>
      </c>
      <c r="I70" s="118">
        <f>IFERROR(VLOOKUP(B70,'AllFundsBudgetByAccount (not us'!A:K,11,0),0)</f>
        <v>0</v>
      </c>
      <c r="J70" s="118">
        <f>IFERROR(VLOOKUP(B70,'AllFundsBudgetByAccount (not us'!A:N,14,0),0)</f>
        <v>0</v>
      </c>
      <c r="K70" s="118">
        <f>IFERROR(VLOOKUP(B70,'AllFundsBudgetByAccount (not us'!A:F,6,0),0)</f>
        <v>0</v>
      </c>
      <c r="L70" s="118">
        <f>IFERROR(VLOOKUP(B70,'AllFundsBudgetByAccount (not us'!A:Q,17,0),0)</f>
        <v>0</v>
      </c>
      <c r="M70" s="118">
        <f>IFERROR(VLOOKUP(B70,'AllFundsBudgetByAccount (not us'!A:R,18,0),0)</f>
        <v>0</v>
      </c>
      <c r="N70" s="118">
        <f>IFERROR(VLOOKUP(B70,'AllFundsBudgetByAccount (not us'!A:T,20,0),0)</f>
        <v>1750367</v>
      </c>
      <c r="O70" s="118">
        <f>IFERROR(VLOOKUP(B70,'AllFundsBudgetByAccount (not us'!A:G,7,0),0)</f>
        <v>1750367</v>
      </c>
      <c r="P70" s="118">
        <f>IFERROR(VLOOKUP(B70,'AllFundsBudgetByAccount (not us'!A:I,9,0),0)</f>
        <v>0</v>
      </c>
      <c r="Q70" s="118">
        <f>IFERROR(VLOOKUP(B70,'AllFundsBudgetByAccount (not us'!A:L,12,0),0)</f>
        <v>0</v>
      </c>
      <c r="R70" s="118">
        <f>IFERROR(VLOOKUP(B70,'AllFundsBudgetByAccount (not us'!A:M,13,0),0)</f>
        <v>0</v>
      </c>
      <c r="S70" s="118">
        <f>IFERROR(VLOOKUP(B70,'AllFundsBudgetByAccount (not us'!A:P,16,0),0)</f>
        <v>0</v>
      </c>
      <c r="T70" s="118">
        <f>IFERROR(VLOOKUP(B70,'AllFundsBudgetByAccount (not us'!A:S,19,0),0)</f>
        <v>0</v>
      </c>
      <c r="U70" s="119">
        <f t="shared" si="0"/>
        <v>3500734</v>
      </c>
      <c r="V70" s="118">
        <v>1750000</v>
      </c>
      <c r="W70" s="26">
        <f t="shared" si="1"/>
        <v>1750734</v>
      </c>
      <c r="X70" s="208" t="s">
        <v>203</v>
      </c>
      <c r="Y70" s="23"/>
      <c r="Z70" s="4"/>
      <c r="AA70" s="3"/>
    </row>
    <row r="71" spans="1:27" ht="12" customHeight="1" x14ac:dyDescent="0.2">
      <c r="A71" s="3">
        <v>531601</v>
      </c>
      <c r="B71" s="30">
        <v>531601</v>
      </c>
      <c r="C71" s="29" t="s">
        <v>56</v>
      </c>
      <c r="D71" s="118">
        <f>IFERROR(VLOOKUP(B71,'AllFundsBudgetByAccount (not us'!A:C,3,0),0)</f>
        <v>0</v>
      </c>
      <c r="E71" s="118">
        <f>IFERROR(VLOOKUP(B71,'AllFundsBudgetByAccount (not us'!A:D,4,0),0)</f>
        <v>0</v>
      </c>
      <c r="F71" s="118">
        <f>IFERROR(VLOOKUP(B71,'AllFundsBudgetByAccount (not us'!A:E,5,0),0)</f>
        <v>0</v>
      </c>
      <c r="G71" s="118">
        <f>IFERROR(VLOOKUP(B71,'AllFundsBudgetByAccount (not us'!A:H,8,0),0)</f>
        <v>0</v>
      </c>
      <c r="H71" s="118">
        <f>IFERROR(VLOOKUP(B71,'AllFundsBudgetByAccount (not us'!A:J,10,0),0)</f>
        <v>0</v>
      </c>
      <c r="I71" s="118">
        <f>IFERROR(VLOOKUP(B71,'AllFundsBudgetByAccount (not us'!A:K,11,0),0)</f>
        <v>0</v>
      </c>
      <c r="J71" s="118">
        <f>IFERROR(VLOOKUP(B71,'AllFundsBudgetByAccount (not us'!A:N,14,0),0)</f>
        <v>0</v>
      </c>
      <c r="K71" s="118">
        <f>IFERROR(VLOOKUP(B71,'AllFundsBudgetByAccount (not us'!A:F,6,0),0)</f>
        <v>0</v>
      </c>
      <c r="L71" s="118">
        <f>IFERROR(VLOOKUP(B71,'AllFundsBudgetByAccount (not us'!A:Q,17,0),0)</f>
        <v>0</v>
      </c>
      <c r="M71" s="118">
        <f>IFERROR(VLOOKUP(B71,'AllFundsBudgetByAccount (not us'!A:R,18,0),0)</f>
        <v>395000</v>
      </c>
      <c r="N71" s="118">
        <f>IFERROR(VLOOKUP(B71,'AllFundsBudgetByAccount (not us'!A:T,20,0),0)</f>
        <v>731860</v>
      </c>
      <c r="O71" s="118">
        <f>IFERROR(VLOOKUP(B71,'AllFundsBudgetByAccount (not us'!A:G,7,0),0)</f>
        <v>0</v>
      </c>
      <c r="P71" s="118">
        <f>IFERROR(VLOOKUP(B71,'AllFundsBudgetByAccount (not us'!A:I,9,0),0)</f>
        <v>0</v>
      </c>
      <c r="Q71" s="118">
        <f>IFERROR(VLOOKUP(B71,'AllFundsBudgetByAccount (not us'!A:L,12,0),0)</f>
        <v>336860</v>
      </c>
      <c r="R71" s="118">
        <f>IFERROR(VLOOKUP(B71,'AllFundsBudgetByAccount (not us'!A:M,13,0),0)</f>
        <v>0</v>
      </c>
      <c r="S71" s="118">
        <f>IFERROR(VLOOKUP(B71,'AllFundsBudgetByAccount (not us'!A:P,16,0),0)</f>
        <v>0</v>
      </c>
      <c r="T71" s="118">
        <f>IFERROR(VLOOKUP(B71,'AllFundsBudgetByAccount (not us'!A:S,19,0),0)</f>
        <v>0</v>
      </c>
      <c r="U71" s="119">
        <f t="shared" si="0"/>
        <v>1463720</v>
      </c>
      <c r="V71" s="118">
        <v>437802</v>
      </c>
      <c r="W71" s="26">
        <f t="shared" si="1"/>
        <v>1025918</v>
      </c>
      <c r="X71" s="23">
        <f t="shared" si="2"/>
        <v>2.3433378559257383</v>
      </c>
      <c r="Y71" s="23"/>
      <c r="Z71" s="4"/>
      <c r="AA71" s="3"/>
    </row>
    <row r="72" spans="1:27" ht="12" customHeight="1" x14ac:dyDescent="0.2">
      <c r="A72" s="3">
        <v>531611</v>
      </c>
      <c r="B72" s="30">
        <v>531611</v>
      </c>
      <c r="C72" s="29" t="s">
        <v>97</v>
      </c>
      <c r="D72" s="118">
        <f>IFERROR(VLOOKUP(B72,'AllFundsBudgetByAccount (not us'!A:C,3,0),0)</f>
        <v>0</v>
      </c>
      <c r="E72" s="118">
        <f>IFERROR(VLOOKUP(B72,'AllFundsBudgetByAccount (not us'!A:D,4,0),0)</f>
        <v>0</v>
      </c>
      <c r="F72" s="118">
        <f>IFERROR(VLOOKUP(B72,'AllFundsBudgetByAccount (not us'!A:E,5,0),0)</f>
        <v>0</v>
      </c>
      <c r="G72" s="118">
        <f>IFERROR(VLOOKUP(B72,'AllFundsBudgetByAccount (not us'!A:H,8,0),0)</f>
        <v>0</v>
      </c>
      <c r="H72" s="118">
        <f>IFERROR(VLOOKUP(B72,'AllFundsBudgetByAccount (not us'!A:J,10,0),0)</f>
        <v>0</v>
      </c>
      <c r="I72" s="118">
        <f>IFERROR(VLOOKUP(B72,'AllFundsBudgetByAccount (not us'!A:K,11,0),0)</f>
        <v>0</v>
      </c>
      <c r="J72" s="118">
        <f>IFERROR(VLOOKUP(B72,'AllFundsBudgetByAccount (not us'!A:N,14,0),0)</f>
        <v>0</v>
      </c>
      <c r="K72" s="118">
        <f>IFERROR(VLOOKUP(B72,'AllFundsBudgetByAccount (not us'!A:F,6,0),0)</f>
        <v>0</v>
      </c>
      <c r="L72" s="118">
        <f>IFERROR(VLOOKUP(B72,'AllFundsBudgetByAccount (not us'!A:Q,17,0),0)</f>
        <v>0</v>
      </c>
      <c r="M72" s="118">
        <f>IFERROR(VLOOKUP(B72,'AllFundsBudgetByAccount (not us'!A:R,18,0),0)</f>
        <v>0</v>
      </c>
      <c r="N72" s="118">
        <f>IFERROR(VLOOKUP(B72,'AllFundsBudgetByAccount (not us'!A:T,20,0),0)</f>
        <v>1397000</v>
      </c>
      <c r="O72" s="118">
        <f>IFERROR(VLOOKUP(B72,'AllFundsBudgetByAccount (not us'!A:G,7,0),0)</f>
        <v>0</v>
      </c>
      <c r="P72" s="118">
        <f>IFERROR(VLOOKUP(B72,'AllFundsBudgetByAccount (not us'!A:I,9,0),0)</f>
        <v>0</v>
      </c>
      <c r="Q72" s="118">
        <f>IFERROR(VLOOKUP(B72,'AllFundsBudgetByAccount (not us'!A:L,12,0),0)</f>
        <v>1397000</v>
      </c>
      <c r="R72" s="118">
        <f>IFERROR(VLOOKUP(B72,'AllFundsBudgetByAccount (not us'!A:M,13,0),0)</f>
        <v>0</v>
      </c>
      <c r="S72" s="118">
        <f>IFERROR(VLOOKUP(B72,'AllFundsBudgetByAccount (not us'!A:P,16,0),0)</f>
        <v>0</v>
      </c>
      <c r="T72" s="118">
        <f>IFERROR(VLOOKUP(B72,'AllFundsBudgetByAccount (not us'!A:S,19,0),0)</f>
        <v>0</v>
      </c>
      <c r="U72" s="119">
        <f t="shared" si="0"/>
        <v>2794000</v>
      </c>
      <c r="V72" s="118">
        <v>1185100</v>
      </c>
      <c r="W72" s="26">
        <f t="shared" si="1"/>
        <v>1608900</v>
      </c>
      <c r="X72" s="23">
        <f t="shared" si="2"/>
        <v>1.3576069529997468</v>
      </c>
      <c r="Y72" s="23"/>
      <c r="Z72" s="4"/>
      <c r="AA72" s="3"/>
    </row>
    <row r="73" spans="1:27" ht="12" customHeight="1" x14ac:dyDescent="0.2">
      <c r="A73" s="3">
        <v>531621</v>
      </c>
      <c r="B73" s="30">
        <v>531621</v>
      </c>
      <c r="C73" s="29" t="s">
        <v>96</v>
      </c>
      <c r="D73" s="118">
        <f>IFERROR(VLOOKUP(B73,'AllFundsBudgetByAccount (not us'!A:C,3,0),0)</f>
        <v>0</v>
      </c>
      <c r="E73" s="118">
        <f>IFERROR(VLOOKUP(B73,'AllFundsBudgetByAccount (not us'!A:D,4,0),0)</f>
        <v>0</v>
      </c>
      <c r="F73" s="118">
        <f>IFERROR(VLOOKUP(B73,'AllFundsBudgetByAccount (not us'!A:E,5,0),0)</f>
        <v>0</v>
      </c>
      <c r="G73" s="118">
        <f>IFERROR(VLOOKUP(B73,'AllFundsBudgetByAccount (not us'!A:H,8,0),0)</f>
        <v>0</v>
      </c>
      <c r="H73" s="118">
        <f>IFERROR(VLOOKUP(B73,'AllFundsBudgetByAccount (not us'!A:J,10,0),0)</f>
        <v>0</v>
      </c>
      <c r="I73" s="118">
        <f>IFERROR(VLOOKUP(B73,'AllFundsBudgetByAccount (not us'!A:K,11,0),0)</f>
        <v>0</v>
      </c>
      <c r="J73" s="118">
        <f>IFERROR(VLOOKUP(B73,'AllFundsBudgetByAccount (not us'!A:N,14,0),0)</f>
        <v>0</v>
      </c>
      <c r="K73" s="118">
        <f>IFERROR(VLOOKUP(B73,'AllFundsBudgetByAccount (not us'!A:F,6,0),0)</f>
        <v>0</v>
      </c>
      <c r="L73" s="118">
        <f>IFERROR(VLOOKUP(B73,'AllFundsBudgetByAccount (not us'!A:Q,17,0),0)</f>
        <v>0</v>
      </c>
      <c r="M73" s="118">
        <f>IFERROR(VLOOKUP(B73,'AllFundsBudgetByAccount (not us'!A:R,18,0),0)</f>
        <v>0</v>
      </c>
      <c r="N73" s="118">
        <f>IFERROR(VLOOKUP(B73,'AllFundsBudgetByAccount (not us'!A:T,20,0),0)</f>
        <v>10053000</v>
      </c>
      <c r="O73" s="118">
        <f>IFERROR(VLOOKUP(B73,'AllFundsBudgetByAccount (not us'!A:G,7,0),0)</f>
        <v>0</v>
      </c>
      <c r="P73" s="118">
        <f>IFERROR(VLOOKUP(B73,'AllFundsBudgetByAccount (not us'!A:I,9,0),0)</f>
        <v>0</v>
      </c>
      <c r="Q73" s="118">
        <f>IFERROR(VLOOKUP(B73,'AllFundsBudgetByAccount (not us'!A:L,12,0),0)</f>
        <v>10053000</v>
      </c>
      <c r="R73" s="118">
        <f>IFERROR(VLOOKUP(B73,'AllFundsBudgetByAccount (not us'!A:M,13,0),0)</f>
        <v>0</v>
      </c>
      <c r="S73" s="118">
        <f>IFERROR(VLOOKUP(B73,'AllFundsBudgetByAccount (not us'!A:P,16,0),0)</f>
        <v>0</v>
      </c>
      <c r="T73" s="118">
        <f>IFERROR(VLOOKUP(B73,'AllFundsBudgetByAccount (not us'!A:S,19,0),0)</f>
        <v>0</v>
      </c>
      <c r="U73" s="119">
        <f t="shared" si="0"/>
        <v>20106000</v>
      </c>
      <c r="V73" s="118">
        <v>7426000</v>
      </c>
      <c r="W73" s="26">
        <f t="shared" si="1"/>
        <v>12680000</v>
      </c>
      <c r="X73" s="23">
        <f t="shared" si="2"/>
        <v>1.7075141395098303</v>
      </c>
      <c r="Y73" s="23"/>
      <c r="Z73" s="4"/>
      <c r="AA73" s="3"/>
    </row>
    <row r="74" spans="1:27" ht="12" customHeight="1" x14ac:dyDescent="0.2">
      <c r="A74" s="3">
        <v>531641</v>
      </c>
      <c r="B74" s="30">
        <v>531641</v>
      </c>
      <c r="C74" s="29" t="s">
        <v>95</v>
      </c>
      <c r="D74" s="118">
        <f>IFERROR(VLOOKUP(B74,'AllFundsBudgetByAccount (not us'!A:C,3,0),0)</f>
        <v>0</v>
      </c>
      <c r="E74" s="118">
        <f>IFERROR(VLOOKUP(B74,'AllFundsBudgetByAccount (not us'!A:D,4,0),0)</f>
        <v>0</v>
      </c>
      <c r="F74" s="118">
        <f>IFERROR(VLOOKUP(B74,'AllFundsBudgetByAccount (not us'!A:E,5,0),0)</f>
        <v>0</v>
      </c>
      <c r="G74" s="118">
        <f>IFERROR(VLOOKUP(B74,'AllFundsBudgetByAccount (not us'!A:H,8,0),0)</f>
        <v>0</v>
      </c>
      <c r="H74" s="118">
        <f>IFERROR(VLOOKUP(B74,'AllFundsBudgetByAccount (not us'!A:J,10,0),0)</f>
        <v>0</v>
      </c>
      <c r="I74" s="118">
        <f>IFERROR(VLOOKUP(B74,'AllFundsBudgetByAccount (not us'!A:K,11,0),0)</f>
        <v>0</v>
      </c>
      <c r="J74" s="118">
        <f>IFERROR(VLOOKUP(B74,'AllFundsBudgetByAccount (not us'!A:N,14,0),0)</f>
        <v>0</v>
      </c>
      <c r="K74" s="118">
        <f>IFERROR(VLOOKUP(B74,'AllFundsBudgetByAccount (not us'!A:F,6,0),0)</f>
        <v>0</v>
      </c>
      <c r="L74" s="118">
        <f>IFERROR(VLOOKUP(B74,'AllFundsBudgetByAccount (not us'!A:Q,17,0),0)</f>
        <v>0</v>
      </c>
      <c r="M74" s="118">
        <f>IFERROR(VLOOKUP(B74,'AllFundsBudgetByAccount (not us'!A:R,18,0),0)</f>
        <v>0</v>
      </c>
      <c r="N74" s="118">
        <f>IFERROR(VLOOKUP(B74,'AllFundsBudgetByAccount (not us'!A:T,20,0),0)</f>
        <v>29506500</v>
      </c>
      <c r="O74" s="118">
        <f>IFERROR(VLOOKUP(B74,'AllFundsBudgetByAccount (not us'!A:G,7,0),0)</f>
        <v>0</v>
      </c>
      <c r="P74" s="118">
        <f>IFERROR(VLOOKUP(B74,'AllFundsBudgetByAccount (not us'!A:I,9,0),0)</f>
        <v>29506500</v>
      </c>
      <c r="Q74" s="118">
        <f>IFERROR(VLOOKUP(B74,'AllFundsBudgetByAccount (not us'!A:L,12,0),0)</f>
        <v>0</v>
      </c>
      <c r="R74" s="118">
        <f>IFERROR(VLOOKUP(B74,'AllFundsBudgetByAccount (not us'!A:M,13,0),0)</f>
        <v>0</v>
      </c>
      <c r="S74" s="118">
        <f>IFERROR(VLOOKUP(B74,'AllFundsBudgetByAccount (not us'!A:P,16,0),0)</f>
        <v>0</v>
      </c>
      <c r="T74" s="118">
        <f>IFERROR(VLOOKUP(B74,'AllFundsBudgetByAccount (not us'!A:S,19,0),0)</f>
        <v>0</v>
      </c>
      <c r="U74" s="119">
        <f t="shared" si="0"/>
        <v>59013000</v>
      </c>
      <c r="V74" s="118">
        <v>27436500</v>
      </c>
      <c r="W74" s="26">
        <f t="shared" si="1"/>
        <v>31576500</v>
      </c>
      <c r="X74" s="23">
        <f t="shared" si="2"/>
        <v>1.1508938822371657</v>
      </c>
      <c r="Y74" s="23"/>
      <c r="Z74" s="4"/>
      <c r="AA74" s="3"/>
    </row>
    <row r="75" spans="1:27" ht="12" customHeight="1" x14ac:dyDescent="0.2">
      <c r="A75" s="3">
        <v>531651</v>
      </c>
      <c r="B75" s="30">
        <v>531651</v>
      </c>
      <c r="C75" s="29" t="s">
        <v>63</v>
      </c>
      <c r="D75" s="118">
        <f>IFERROR(VLOOKUP(B75,'AllFundsBudgetByAccount (not us'!A:C,3,0),0)</f>
        <v>0</v>
      </c>
      <c r="E75" s="118">
        <f>IFERROR(VLOOKUP(B75,'AllFundsBudgetByAccount (not us'!A:D,4,0),0)</f>
        <v>0</v>
      </c>
      <c r="F75" s="118">
        <f>IFERROR(VLOOKUP(B75,'AllFundsBudgetByAccount (not us'!A:E,5,0),0)</f>
        <v>0</v>
      </c>
      <c r="G75" s="118">
        <f>IFERROR(VLOOKUP(B75,'AllFundsBudgetByAccount (not us'!A:H,8,0),0)</f>
        <v>0</v>
      </c>
      <c r="H75" s="118">
        <f>IFERROR(VLOOKUP(B75,'AllFundsBudgetByAccount (not us'!A:J,10,0),0)</f>
        <v>0</v>
      </c>
      <c r="I75" s="118">
        <f>IFERROR(VLOOKUP(B75,'AllFundsBudgetByAccount (not us'!A:K,11,0),0)</f>
        <v>80000</v>
      </c>
      <c r="J75" s="118">
        <f>IFERROR(VLOOKUP(B75,'AllFundsBudgetByAccount (not us'!A:N,14,0),0)</f>
        <v>0</v>
      </c>
      <c r="K75" s="118">
        <f>IFERROR(VLOOKUP(B75,'AllFundsBudgetByAccount (not us'!A:F,6,0),0)</f>
        <v>0</v>
      </c>
      <c r="L75" s="118">
        <f>IFERROR(VLOOKUP(B75,'AllFundsBudgetByAccount (not us'!A:Q,17,0),0)</f>
        <v>0</v>
      </c>
      <c r="M75" s="118">
        <f>IFERROR(VLOOKUP(B75,'AllFundsBudgetByAccount (not us'!A:R,18,0),0)</f>
        <v>0</v>
      </c>
      <c r="N75" s="118">
        <f>IFERROR(VLOOKUP(B75,'AllFundsBudgetByAccount (not us'!A:T,20,0),0)</f>
        <v>41592046</v>
      </c>
      <c r="O75" s="118">
        <f>IFERROR(VLOOKUP(B75,'AllFundsBudgetByAccount (not us'!A:G,7,0),0)</f>
        <v>0</v>
      </c>
      <c r="P75" s="118">
        <f>IFERROR(VLOOKUP(B75,'AllFundsBudgetByAccount (not us'!A:I,9,0),0)</f>
        <v>41320471</v>
      </c>
      <c r="Q75" s="118">
        <f>IFERROR(VLOOKUP(B75,'AllFundsBudgetByAccount (not us'!A:L,12,0),0)</f>
        <v>191575</v>
      </c>
      <c r="R75" s="118">
        <f>IFERROR(VLOOKUP(B75,'AllFundsBudgetByAccount (not us'!A:M,13,0),0)</f>
        <v>0</v>
      </c>
      <c r="S75" s="118">
        <f>IFERROR(VLOOKUP(B75,'AllFundsBudgetByAccount (not us'!A:P,16,0),0)</f>
        <v>0</v>
      </c>
      <c r="T75" s="118">
        <f>IFERROR(VLOOKUP(B75,'AllFundsBudgetByAccount (not us'!A:S,19,0),0)</f>
        <v>0</v>
      </c>
      <c r="U75" s="119">
        <f t="shared" si="0"/>
        <v>83184092</v>
      </c>
      <c r="V75" s="118">
        <v>47472831</v>
      </c>
      <c r="W75" s="26">
        <f t="shared" si="1"/>
        <v>35711261</v>
      </c>
      <c r="X75" s="23">
        <f t="shared" si="2"/>
        <v>0.75224629009380128</v>
      </c>
      <c r="Y75" s="23"/>
      <c r="Z75" s="4"/>
      <c r="AA75" s="3"/>
    </row>
    <row r="76" spans="1:27" ht="12" customHeight="1" x14ac:dyDescent="0.2">
      <c r="A76" s="3">
        <v>531701</v>
      </c>
      <c r="B76" s="30">
        <v>531701</v>
      </c>
      <c r="C76" s="29" t="s">
        <v>57</v>
      </c>
      <c r="D76" s="118">
        <f>IFERROR(VLOOKUP(B76,'AllFundsBudgetByAccount (not us'!A:C,3,0),0)</f>
        <v>0</v>
      </c>
      <c r="E76" s="118">
        <f>IFERROR(VLOOKUP(B76,'AllFundsBudgetByAccount (not us'!A:D,4,0),0)</f>
        <v>0</v>
      </c>
      <c r="F76" s="118">
        <f>IFERROR(VLOOKUP(B76,'AllFundsBudgetByAccount (not us'!A:E,5,0),0)</f>
        <v>0</v>
      </c>
      <c r="G76" s="118">
        <f>IFERROR(VLOOKUP(B76,'AllFundsBudgetByAccount (not us'!A:H,8,0),0)</f>
        <v>0</v>
      </c>
      <c r="H76" s="118">
        <f>IFERROR(VLOOKUP(B76,'AllFundsBudgetByAccount (not us'!A:J,10,0),0)</f>
        <v>0</v>
      </c>
      <c r="I76" s="118">
        <f>IFERROR(VLOOKUP(B76,'AllFundsBudgetByAccount (not us'!A:K,11,0),0)</f>
        <v>0</v>
      </c>
      <c r="J76" s="118">
        <f>IFERROR(VLOOKUP(B76,'AllFundsBudgetByAccount (not us'!A:N,14,0),0)</f>
        <v>0</v>
      </c>
      <c r="K76" s="118">
        <f>IFERROR(VLOOKUP(B76,'AllFundsBudgetByAccount (not us'!A:F,6,0),0)</f>
        <v>0</v>
      </c>
      <c r="L76" s="118">
        <f>IFERROR(VLOOKUP(B76,'AllFundsBudgetByAccount (not us'!A:Q,17,0),0)</f>
        <v>0</v>
      </c>
      <c r="M76" s="118">
        <f>IFERROR(VLOOKUP(B76,'AllFundsBudgetByAccount (not us'!A:R,18,0),0)</f>
        <v>174596</v>
      </c>
      <c r="N76" s="118">
        <f>IFERROR(VLOOKUP(B76,'AllFundsBudgetByAccount (not us'!A:T,20,0),0)</f>
        <v>526246</v>
      </c>
      <c r="O76" s="118">
        <f>IFERROR(VLOOKUP(B76,'AllFundsBudgetByAccount (not us'!A:G,7,0),0)</f>
        <v>42650</v>
      </c>
      <c r="P76" s="118">
        <f>IFERROR(VLOOKUP(B76,'AllFundsBudgetByAccount (not us'!A:I,9,0),0)</f>
        <v>0</v>
      </c>
      <c r="Q76" s="118">
        <f>IFERROR(VLOOKUP(B76,'AllFundsBudgetByAccount (not us'!A:L,12,0),0)</f>
        <v>309000</v>
      </c>
      <c r="R76" s="118">
        <f>IFERROR(VLOOKUP(B76,'AllFundsBudgetByAccount (not us'!A:M,13,0),0)</f>
        <v>0</v>
      </c>
      <c r="S76" s="118">
        <f>IFERROR(VLOOKUP(B76,'AllFundsBudgetByAccount (not us'!A:P,16,0),0)</f>
        <v>0</v>
      </c>
      <c r="T76" s="118">
        <f>IFERROR(VLOOKUP(B76,'AllFundsBudgetByAccount (not us'!A:S,19,0),0)</f>
        <v>0</v>
      </c>
      <c r="U76" s="119">
        <f t="shared" ref="U76:U84" si="3">SUM(D76:T76)</f>
        <v>1052492</v>
      </c>
      <c r="V76" s="118">
        <v>454458</v>
      </c>
      <c r="W76" s="26">
        <f t="shared" ref="W76:W90" si="4">U76-V76</f>
        <v>598034</v>
      </c>
      <c r="X76" s="23">
        <f t="shared" ref="X76:X90" si="5">IF(V76=0,100%,W76/V76)</f>
        <v>1.3159279845442262</v>
      </c>
      <c r="Y76" s="23"/>
      <c r="Z76" s="4"/>
      <c r="AA76" s="3"/>
    </row>
    <row r="77" spans="1:27" ht="12" hidden="1" customHeight="1" x14ac:dyDescent="0.2">
      <c r="B77" s="30">
        <v>541301</v>
      </c>
      <c r="C77" s="29" t="s">
        <v>94</v>
      </c>
      <c r="D77" s="118">
        <f>IFERROR(VLOOKUP(B77,'AllFundsBudgetByAccount (not us'!A:C,3,0),0)</f>
        <v>0</v>
      </c>
      <c r="E77" s="118">
        <f>IFERROR(VLOOKUP(B77,'AllFundsBudgetByAccount (not us'!A:D,4,0),0)</f>
        <v>0</v>
      </c>
      <c r="F77" s="118">
        <f>IFERROR(VLOOKUP(B77,'AllFundsBudgetByAccount (not us'!A:E,5,0),0)</f>
        <v>0</v>
      </c>
      <c r="G77" s="118">
        <f>IFERROR(VLOOKUP(B77,'AllFundsBudgetByAccount (not us'!A:H,8,0),0)</f>
        <v>0</v>
      </c>
      <c r="H77" s="118">
        <f>IFERROR(VLOOKUP(B77,'AllFundsBudgetByAccount (not us'!A:J,10,0),0)</f>
        <v>0</v>
      </c>
      <c r="I77" s="118">
        <f>IFERROR(VLOOKUP(B77,'AllFundsBudgetByAccount (not us'!A:K,11,0),0)</f>
        <v>0</v>
      </c>
      <c r="J77" s="118">
        <f>IFERROR(VLOOKUP(B77,'AllFundsBudgetByAccount (not us'!A:N,14,0),0)</f>
        <v>0</v>
      </c>
      <c r="K77" s="118">
        <f>IFERROR(VLOOKUP(B77,'AllFundsBudgetByAccount (not us'!A:F,6,0),0)</f>
        <v>0</v>
      </c>
      <c r="L77" s="118">
        <f>IFERROR(VLOOKUP(B77,'AllFundsBudgetByAccount (not us'!A:Q,17,0),0)</f>
        <v>0</v>
      </c>
      <c r="M77" s="118">
        <f>IFERROR(VLOOKUP(B77,'AllFundsBudgetByAccount (not us'!A:R,18,0),0)</f>
        <v>0</v>
      </c>
      <c r="N77" s="118">
        <f>IFERROR(VLOOKUP(B77,'AllFundsBudgetByAccount (not us'!A:T,20,0),0)</f>
        <v>0</v>
      </c>
      <c r="O77" s="118">
        <f>IFERROR(VLOOKUP(B77,'AllFundsBudgetByAccount (not us'!A:G,7,0),0)</f>
        <v>0</v>
      </c>
      <c r="P77" s="118">
        <f>IFERROR(VLOOKUP(B77,'AllFundsBudgetByAccount (not us'!A:I,9,0),0)</f>
        <v>0</v>
      </c>
      <c r="Q77" s="118">
        <f>IFERROR(VLOOKUP(B77,'AllFundsBudgetByAccount (not us'!A:L,12,0),0)</f>
        <v>0</v>
      </c>
      <c r="R77" s="118">
        <f>IFERROR(VLOOKUP(B77,'AllFundsBudgetByAccount (not us'!A:M,13,0),0)</f>
        <v>0</v>
      </c>
      <c r="S77" s="118">
        <f>IFERROR(VLOOKUP(B77,'AllFundsBudgetByAccount (not us'!A:P,16,0),0)</f>
        <v>0</v>
      </c>
      <c r="T77" s="118">
        <f>IFERROR(VLOOKUP(B77,'AllFundsBudgetByAccount (not us'!A:S,19,0),0)</f>
        <v>0</v>
      </c>
      <c r="U77" s="119">
        <f t="shared" si="3"/>
        <v>0</v>
      </c>
      <c r="V77" s="118">
        <v>0</v>
      </c>
      <c r="W77" s="118">
        <f t="shared" si="4"/>
        <v>0</v>
      </c>
      <c r="X77" s="23">
        <f t="shared" si="5"/>
        <v>1</v>
      </c>
      <c r="Y77" s="23"/>
      <c r="Z77" s="4"/>
      <c r="AA77" s="3"/>
    </row>
    <row r="78" spans="1:27" ht="12" customHeight="1" x14ac:dyDescent="0.2">
      <c r="A78" s="3">
        <v>541302</v>
      </c>
      <c r="B78" s="30">
        <v>541302</v>
      </c>
      <c r="C78" s="29" t="s">
        <v>93</v>
      </c>
      <c r="D78" s="118">
        <f>IFERROR(VLOOKUP(B78,'AllFundsBudgetByAccount (not us'!A:C,3,0),0)</f>
        <v>0</v>
      </c>
      <c r="E78" s="118">
        <f>IFERROR(VLOOKUP(B78,'AllFundsBudgetByAccount (not us'!A:D,4,0),0)</f>
        <v>0</v>
      </c>
      <c r="F78" s="118">
        <f>IFERROR(VLOOKUP(B78,'AllFundsBudgetByAccount (not us'!A:E,5,0),0)</f>
        <v>0</v>
      </c>
      <c r="G78" s="118">
        <f>IFERROR(VLOOKUP(B78,'AllFundsBudgetByAccount (not us'!A:H,8,0),0)</f>
        <v>0</v>
      </c>
      <c r="H78" s="118">
        <f>IFERROR(VLOOKUP(B78,'AllFundsBudgetByAccount (not us'!A:J,10,0),0)</f>
        <v>0</v>
      </c>
      <c r="I78" s="118">
        <f>IFERROR(VLOOKUP(B78,'AllFundsBudgetByAccount (not us'!A:K,11,0),0)</f>
        <v>0</v>
      </c>
      <c r="J78" s="118">
        <f>IFERROR(VLOOKUP(B78,'AllFundsBudgetByAccount (not us'!A:N,14,0),0)</f>
        <v>0</v>
      </c>
      <c r="K78" s="118">
        <f>IFERROR(VLOOKUP(B78,'AllFundsBudgetByAccount (not us'!A:F,6,0),0)</f>
        <v>0</v>
      </c>
      <c r="L78" s="118">
        <f>IFERROR(VLOOKUP(B78,'AllFundsBudgetByAccount (not us'!A:Q,17,0),0)</f>
        <v>0</v>
      </c>
      <c r="M78" s="118">
        <f>IFERROR(VLOOKUP(B78,'AllFundsBudgetByAccount (not us'!A:R,18,0),0)</f>
        <v>0</v>
      </c>
      <c r="N78" s="118">
        <f>IFERROR(VLOOKUP(B78,'AllFundsBudgetByAccount (not us'!A:T,20,0),0)</f>
        <v>16607000</v>
      </c>
      <c r="O78" s="118">
        <f>IFERROR(VLOOKUP(B78,'AllFundsBudgetByAccount (not us'!A:G,7,0),0)</f>
        <v>0</v>
      </c>
      <c r="P78" s="118">
        <f>IFERROR(VLOOKUP(B78,'AllFundsBudgetByAccount (not us'!A:I,9,0),0)</f>
        <v>0</v>
      </c>
      <c r="Q78" s="118">
        <f>IFERROR(VLOOKUP(B78,'AllFundsBudgetByAccount (not us'!A:L,12,0),0)</f>
        <v>16607000</v>
      </c>
      <c r="R78" s="118">
        <f>IFERROR(VLOOKUP(B78,'AllFundsBudgetByAccount (not us'!A:M,13,0),0)</f>
        <v>0</v>
      </c>
      <c r="S78" s="118">
        <f>IFERROR(VLOOKUP(B78,'AllFundsBudgetByAccount (not us'!A:P,16,0),0)</f>
        <v>0</v>
      </c>
      <c r="T78" s="118">
        <f>IFERROR(VLOOKUP(B78,'AllFundsBudgetByAccount (not us'!A:S,19,0),0)</f>
        <v>0</v>
      </c>
      <c r="U78" s="119">
        <f t="shared" si="3"/>
        <v>33214000</v>
      </c>
      <c r="V78" s="118">
        <v>10547000</v>
      </c>
      <c r="W78" s="26">
        <f t="shared" si="4"/>
        <v>22667000</v>
      </c>
      <c r="X78" s="23">
        <f t="shared" si="5"/>
        <v>2.1491419360955724</v>
      </c>
      <c r="Y78" s="23"/>
      <c r="Z78" s="4"/>
      <c r="AA78" s="3"/>
    </row>
    <row r="79" spans="1:27" ht="12" customHeight="1" x14ac:dyDescent="0.2">
      <c r="A79" s="3">
        <v>541401</v>
      </c>
      <c r="B79" s="30">
        <v>541401</v>
      </c>
      <c r="C79" s="29" t="s">
        <v>92</v>
      </c>
      <c r="D79" s="118">
        <f>IFERROR(VLOOKUP(B79,'AllFundsBudgetByAccount (not us'!A:C,3,0),0)</f>
        <v>0</v>
      </c>
      <c r="E79" s="118">
        <f>IFERROR(VLOOKUP(B79,'AllFundsBudgetByAccount (not us'!A:D,4,0),0)</f>
        <v>0</v>
      </c>
      <c r="F79" s="118">
        <f>IFERROR(VLOOKUP(B79,'AllFundsBudgetByAccount (not us'!A:E,5,0),0)</f>
        <v>0</v>
      </c>
      <c r="G79" s="118">
        <f>IFERROR(VLOOKUP(B79,'AllFundsBudgetByAccount (not us'!A:H,8,0),0)</f>
        <v>0</v>
      </c>
      <c r="H79" s="118">
        <f>IFERROR(VLOOKUP(B79,'AllFundsBudgetByAccount (not us'!A:J,10,0),0)</f>
        <v>0</v>
      </c>
      <c r="I79" s="118">
        <f>IFERROR(VLOOKUP(B79,'AllFundsBudgetByAccount (not us'!A:K,11,0),0)</f>
        <v>0</v>
      </c>
      <c r="J79" s="118">
        <f>IFERROR(VLOOKUP(B79,'AllFundsBudgetByAccount (not us'!A:N,14,0),0)</f>
        <v>0</v>
      </c>
      <c r="K79" s="118">
        <f>IFERROR(VLOOKUP(B79,'AllFundsBudgetByAccount (not us'!A:F,6,0),0)</f>
        <v>0</v>
      </c>
      <c r="L79" s="118">
        <f>IFERROR(VLOOKUP(B79,'AllFundsBudgetByAccount (not us'!A:Q,17,0),0)</f>
        <v>0</v>
      </c>
      <c r="M79" s="118">
        <f>IFERROR(VLOOKUP(B79,'AllFundsBudgetByAccount (not us'!A:R,18,0),0)</f>
        <v>17896000</v>
      </c>
      <c r="N79" s="118">
        <f>IFERROR(VLOOKUP(B79,'AllFundsBudgetByAccount (not us'!A:T,20,0),0)</f>
        <v>275403959</v>
      </c>
      <c r="O79" s="118">
        <f>IFERROR(VLOOKUP(B79,'AllFundsBudgetByAccount (not us'!A:G,7,0),0)</f>
        <v>0</v>
      </c>
      <c r="P79" s="118">
        <f>IFERROR(VLOOKUP(B79,'AllFundsBudgetByAccount (not us'!A:I,9,0),0)</f>
        <v>4500000</v>
      </c>
      <c r="Q79" s="118">
        <f>IFERROR(VLOOKUP(B79,'AllFundsBudgetByAccount (not us'!A:L,12,0),0)</f>
        <v>0</v>
      </c>
      <c r="R79" s="118">
        <f>IFERROR(VLOOKUP(B79,'AllFundsBudgetByAccount (not us'!A:M,13,0),0)</f>
        <v>0</v>
      </c>
      <c r="S79" s="118">
        <f>IFERROR(VLOOKUP(B79,'AllFundsBudgetByAccount (not us'!A:P,16,0),0)</f>
        <v>0</v>
      </c>
      <c r="T79" s="118">
        <f>IFERROR(VLOOKUP(B79,'AllFundsBudgetByAccount (not us'!A:S,19,0),0)</f>
        <v>0</v>
      </c>
      <c r="U79" s="119">
        <f t="shared" si="3"/>
        <v>297799959</v>
      </c>
      <c r="V79" s="118">
        <v>250257062</v>
      </c>
      <c r="W79" s="26">
        <f t="shared" si="4"/>
        <v>47542897</v>
      </c>
      <c r="X79" s="23">
        <f t="shared" si="5"/>
        <v>0.18997624530571688</v>
      </c>
      <c r="Y79" s="23"/>
      <c r="Z79" s="4"/>
      <c r="AA79" s="3"/>
    </row>
    <row r="80" spans="1:27" ht="12" customHeight="1" x14ac:dyDescent="0.2">
      <c r="B80" s="30">
        <v>541402</v>
      </c>
      <c r="C80" s="29" t="s">
        <v>91</v>
      </c>
      <c r="D80" s="118">
        <f>IFERROR(VLOOKUP(B80,'AllFundsBudgetByAccount (not us'!A:C,3,0),0)</f>
        <v>0</v>
      </c>
      <c r="E80" s="118">
        <f>IFERROR(VLOOKUP(B80,'AllFundsBudgetByAccount (not us'!A:D,4,0),0)</f>
        <v>0</v>
      </c>
      <c r="F80" s="118">
        <f>IFERROR(VLOOKUP(B80,'AllFundsBudgetByAccount (not us'!A:E,5,0),0)</f>
        <v>0</v>
      </c>
      <c r="G80" s="118">
        <f>IFERROR(VLOOKUP(B80,'AllFundsBudgetByAccount (not us'!A:H,8,0),0)</f>
        <v>0</v>
      </c>
      <c r="H80" s="118">
        <f>IFERROR(VLOOKUP(B80,'AllFundsBudgetByAccount (not us'!A:J,10,0),0)</f>
        <v>0</v>
      </c>
      <c r="I80" s="118">
        <f>IFERROR(VLOOKUP(B80,'AllFundsBudgetByAccount (not us'!A:K,11,0),0)</f>
        <v>0</v>
      </c>
      <c r="J80" s="118">
        <f>IFERROR(VLOOKUP(B80,'AllFundsBudgetByAccount (not us'!A:N,14,0),0)</f>
        <v>0</v>
      </c>
      <c r="K80" s="118">
        <f>IFERROR(VLOOKUP(B80,'AllFundsBudgetByAccount (not us'!A:F,6,0),0)</f>
        <v>0</v>
      </c>
      <c r="L80" s="118">
        <f>IFERROR(VLOOKUP(B80,'AllFundsBudgetByAccount (not us'!A:Q,17,0),0)</f>
        <v>0</v>
      </c>
      <c r="M80" s="118">
        <f>IFERROR(VLOOKUP(B80,'AllFundsBudgetByAccount (not us'!A:R,18,0),0)</f>
        <v>0</v>
      </c>
      <c r="N80" s="118">
        <f>IFERROR(VLOOKUP(B80,'AllFundsBudgetByAccount (not us'!A:T,20,0),0)</f>
        <v>1975543</v>
      </c>
      <c r="O80" s="118">
        <f>IFERROR(VLOOKUP(B80,'AllFundsBudgetByAccount (not us'!A:G,7,0),0)</f>
        <v>0</v>
      </c>
      <c r="P80" s="118">
        <f>IFERROR(VLOOKUP(B80,'AllFundsBudgetByAccount (not us'!A:I,9,0),0)</f>
        <v>0</v>
      </c>
      <c r="Q80" s="118">
        <f>IFERROR(VLOOKUP(B80,'AllFundsBudgetByAccount (not us'!A:L,12,0),0)</f>
        <v>0</v>
      </c>
      <c r="R80" s="118">
        <f>IFERROR(VLOOKUP(B80,'AllFundsBudgetByAccount (not us'!A:M,13,0),0)</f>
        <v>0</v>
      </c>
      <c r="S80" s="118">
        <f>IFERROR(VLOOKUP(B80,'AllFundsBudgetByAccount (not us'!A:P,16,0),0)</f>
        <v>0</v>
      </c>
      <c r="T80" s="118">
        <f>IFERROR(VLOOKUP(B80,'AllFundsBudgetByAccount (not us'!A:S,19,0),0)</f>
        <v>0</v>
      </c>
      <c r="U80" s="119">
        <f t="shared" si="3"/>
        <v>1975543</v>
      </c>
      <c r="V80" s="118">
        <v>392783</v>
      </c>
      <c r="W80" s="26">
        <f t="shared" si="4"/>
        <v>1582760</v>
      </c>
      <c r="X80" s="23">
        <f t="shared" si="5"/>
        <v>4.0296041325617455</v>
      </c>
      <c r="Y80" s="23"/>
      <c r="Z80" s="4"/>
      <c r="AA80" s="3"/>
    </row>
    <row r="81" spans="1:27" ht="12" customHeight="1" x14ac:dyDescent="0.2">
      <c r="A81" s="3">
        <v>541403</v>
      </c>
      <c r="B81" s="30">
        <v>541403</v>
      </c>
      <c r="C81" s="29" t="s">
        <v>90</v>
      </c>
      <c r="D81" s="118">
        <f>IFERROR(VLOOKUP(B81,'AllFundsBudgetByAccount (not us'!A:C,3,0),0)</f>
        <v>0</v>
      </c>
      <c r="E81" s="118">
        <f>IFERROR(VLOOKUP(B81,'AllFundsBudgetByAccount (not us'!A:D,4,0),0)</f>
        <v>0</v>
      </c>
      <c r="F81" s="118">
        <f>IFERROR(VLOOKUP(B81,'AllFundsBudgetByAccount (not us'!A:E,5,0),0)</f>
        <v>0</v>
      </c>
      <c r="G81" s="118">
        <f>IFERROR(VLOOKUP(B81,'AllFundsBudgetByAccount (not us'!A:H,8,0),0)</f>
        <v>0</v>
      </c>
      <c r="H81" s="118">
        <f>IFERROR(VLOOKUP(B81,'AllFundsBudgetByAccount (not us'!A:J,10,0),0)</f>
        <v>0</v>
      </c>
      <c r="I81" s="118">
        <f>IFERROR(VLOOKUP(B81,'AllFundsBudgetByAccount (not us'!A:K,11,0),0)</f>
        <v>0</v>
      </c>
      <c r="J81" s="118">
        <f>IFERROR(VLOOKUP(B81,'AllFundsBudgetByAccount (not us'!A:N,14,0),0)</f>
        <v>0</v>
      </c>
      <c r="K81" s="118">
        <f>IFERROR(VLOOKUP(B81,'AllFundsBudgetByAccount (not us'!A:F,6,0),0)</f>
        <v>0</v>
      </c>
      <c r="L81" s="118">
        <f>IFERROR(VLOOKUP(B81,'AllFundsBudgetByAccount (not us'!A:Q,17,0),0)</f>
        <v>0</v>
      </c>
      <c r="M81" s="118">
        <f>IFERROR(VLOOKUP(B81,'AllFundsBudgetByAccount (not us'!A:R,18,0),0)</f>
        <v>0</v>
      </c>
      <c r="N81" s="118">
        <f>IFERROR(VLOOKUP(B81,'AllFundsBudgetByAccount (not us'!A:T,20,0),0)</f>
        <v>175000</v>
      </c>
      <c r="O81" s="118">
        <f>IFERROR(VLOOKUP(B81,'AllFundsBudgetByAccount (not us'!A:G,7,0),0)</f>
        <v>0</v>
      </c>
      <c r="P81" s="118">
        <f>IFERROR(VLOOKUP(B81,'AllFundsBudgetByAccount (not us'!A:I,9,0),0)</f>
        <v>175000</v>
      </c>
      <c r="Q81" s="118">
        <f>IFERROR(VLOOKUP(B81,'AllFundsBudgetByAccount (not us'!A:L,12,0),0)</f>
        <v>0</v>
      </c>
      <c r="R81" s="118">
        <f>IFERROR(VLOOKUP(B81,'AllFundsBudgetByAccount (not us'!A:M,13,0),0)</f>
        <v>0</v>
      </c>
      <c r="S81" s="118">
        <f>IFERROR(VLOOKUP(B81,'AllFundsBudgetByAccount (not us'!A:P,16,0),0)</f>
        <v>0</v>
      </c>
      <c r="T81" s="118">
        <f>IFERROR(VLOOKUP(B81,'AllFundsBudgetByAccount (not us'!A:S,19,0),0)</f>
        <v>0</v>
      </c>
      <c r="U81" s="119">
        <f t="shared" si="3"/>
        <v>350000</v>
      </c>
      <c r="V81" s="118">
        <v>175000</v>
      </c>
      <c r="W81" s="118">
        <f t="shared" si="4"/>
        <v>175000</v>
      </c>
      <c r="X81" s="118">
        <f t="shared" si="5"/>
        <v>1</v>
      </c>
      <c r="Y81" s="23"/>
      <c r="Z81" s="4"/>
      <c r="AA81" s="3"/>
    </row>
    <row r="82" spans="1:27" ht="12" customHeight="1" x14ac:dyDescent="0.2">
      <c r="A82" s="3">
        <v>573001</v>
      </c>
      <c r="B82" s="30">
        <v>573001</v>
      </c>
      <c r="C82" s="29" t="s">
        <v>32</v>
      </c>
      <c r="D82" s="118">
        <f>IFERROR(VLOOKUP(B82,'AllFundsBudgetByAccount (not us'!A:C,3,0),0)</f>
        <v>0</v>
      </c>
      <c r="E82" s="118">
        <f>IFERROR(VLOOKUP(B82,'AllFundsBudgetByAccount (not us'!A:D,4,0),0)</f>
        <v>0</v>
      </c>
      <c r="F82" s="118">
        <f>IFERROR(VLOOKUP(B82,'AllFundsBudgetByAccount (not us'!A:E,5,0),0)</f>
        <v>0</v>
      </c>
      <c r="G82" s="118">
        <f>IFERROR(VLOOKUP(B82,'AllFundsBudgetByAccount (not us'!A:H,8,0),0)</f>
        <v>0</v>
      </c>
      <c r="H82" s="118">
        <f>IFERROR(VLOOKUP(B82,'AllFundsBudgetByAccount (not us'!A:J,10,0),0)</f>
        <v>0</v>
      </c>
      <c r="I82" s="118">
        <f>IFERROR(VLOOKUP(B82,'AllFundsBudgetByAccount (not us'!A:K,11,0),0)</f>
        <v>0</v>
      </c>
      <c r="J82" s="118">
        <f>IFERROR(VLOOKUP(B82,'AllFundsBudgetByAccount (not us'!A:N,14,0),0)</f>
        <v>0</v>
      </c>
      <c r="K82" s="118">
        <f>IFERROR(VLOOKUP(B82,'AllFundsBudgetByAccount (not us'!A:F,6,0),0)</f>
        <v>0</v>
      </c>
      <c r="L82" s="118">
        <f>IFERROR(VLOOKUP(B82,'AllFundsBudgetByAccount (not us'!A:Q,17,0),0)</f>
        <v>0</v>
      </c>
      <c r="M82" s="118">
        <f>IFERROR(VLOOKUP(B82,'AllFundsBudgetByAccount (not us'!A:R,18,0),0)</f>
        <v>0</v>
      </c>
      <c r="N82" s="118">
        <f>IFERROR(VLOOKUP(B82,'AllFundsBudgetByAccount (not us'!A:T,20,0),0)</f>
        <v>347934</v>
      </c>
      <c r="O82" s="118">
        <f>IFERROR(VLOOKUP(B82,'AllFundsBudgetByAccount (not us'!A:G,7,0),0)</f>
        <v>330934</v>
      </c>
      <c r="P82" s="118">
        <f>IFERROR(VLOOKUP(B82,'AllFundsBudgetByAccount (not us'!A:I,9,0),0)</f>
        <v>0</v>
      </c>
      <c r="Q82" s="118">
        <f>IFERROR(VLOOKUP(B82,'AllFundsBudgetByAccount (not us'!A:L,12,0),0)</f>
        <v>0</v>
      </c>
      <c r="R82" s="118">
        <f>IFERROR(VLOOKUP(B82,'AllFundsBudgetByAccount (not us'!A:M,13,0),0)</f>
        <v>0</v>
      </c>
      <c r="S82" s="118">
        <f>IFERROR(VLOOKUP(B82,'AllFundsBudgetByAccount (not us'!A:P,16,0),0)</f>
        <v>0</v>
      </c>
      <c r="T82" s="118">
        <f>IFERROR(VLOOKUP(B82,'AllFundsBudgetByAccount (not us'!A:S,19,0),0)</f>
        <v>17000</v>
      </c>
      <c r="U82" s="119">
        <f t="shared" si="3"/>
        <v>695868</v>
      </c>
      <c r="V82" s="118">
        <v>417000</v>
      </c>
      <c r="W82" s="26">
        <f t="shared" si="4"/>
        <v>278868</v>
      </c>
      <c r="X82" s="23">
        <f t="shared" si="5"/>
        <v>0.66874820143884894</v>
      </c>
      <c r="Y82" s="23"/>
      <c r="Z82" s="4"/>
      <c r="AA82" s="3"/>
    </row>
    <row r="83" spans="1:27" ht="12" customHeight="1" x14ac:dyDescent="0.2">
      <c r="A83" s="3">
        <v>573002</v>
      </c>
      <c r="B83" s="30">
        <v>573002</v>
      </c>
      <c r="C83" s="29" t="s">
        <v>64</v>
      </c>
      <c r="D83" s="118">
        <f>IFERROR(VLOOKUP(B83,'AllFundsBudgetByAccount (not us'!A:C,3,0),0)</f>
        <v>0</v>
      </c>
      <c r="E83" s="118">
        <f>IFERROR(VLOOKUP(B83,'AllFundsBudgetByAccount (not us'!A:D,4,0),0)</f>
        <v>0</v>
      </c>
      <c r="F83" s="118">
        <f>IFERROR(VLOOKUP(B83,'AllFundsBudgetByAccount (not us'!A:E,5,0),0)</f>
        <v>0</v>
      </c>
      <c r="G83" s="118">
        <f>IFERROR(VLOOKUP(B83,'AllFundsBudgetByAccount (not us'!A:H,8,0),0)</f>
        <v>0</v>
      </c>
      <c r="H83" s="118">
        <f>IFERROR(VLOOKUP(B83,'AllFundsBudgetByAccount (not us'!A:J,10,0),0)</f>
        <v>0</v>
      </c>
      <c r="I83" s="118">
        <f>IFERROR(VLOOKUP(B83,'AllFundsBudgetByAccount (not us'!A:K,11,0),0)</f>
        <v>0</v>
      </c>
      <c r="J83" s="118">
        <f>IFERROR(VLOOKUP(B83,'AllFundsBudgetByAccount (not us'!A:N,14,0),0)</f>
        <v>0</v>
      </c>
      <c r="K83" s="118">
        <f>IFERROR(VLOOKUP(B83,'AllFundsBudgetByAccount (not us'!A:F,6,0),0)</f>
        <v>0</v>
      </c>
      <c r="L83" s="118">
        <f>IFERROR(VLOOKUP(B83,'AllFundsBudgetByAccount (not us'!A:Q,17,0),0)</f>
        <v>0</v>
      </c>
      <c r="M83" s="118">
        <f>IFERROR(VLOOKUP(B83,'AllFundsBudgetByAccount (not us'!A:R,18,0),0)</f>
        <v>0</v>
      </c>
      <c r="N83" s="118">
        <f>IFERROR(VLOOKUP(B83,'AllFundsBudgetByAccount (not us'!A:T,20,0),0)</f>
        <v>50000000</v>
      </c>
      <c r="O83" s="118">
        <f>IFERROR(VLOOKUP(B83,'AllFundsBudgetByAccount (not us'!A:G,7,0),0)</f>
        <v>50000000</v>
      </c>
      <c r="P83" s="118">
        <f>IFERROR(VLOOKUP(B83,'AllFundsBudgetByAccount (not us'!A:I,9,0),0)</f>
        <v>0</v>
      </c>
      <c r="Q83" s="118">
        <f>IFERROR(VLOOKUP(B83,'AllFundsBudgetByAccount (not us'!A:L,12,0),0)</f>
        <v>0</v>
      </c>
      <c r="R83" s="118">
        <f>IFERROR(VLOOKUP(B83,'AllFundsBudgetByAccount (not us'!A:M,13,0),0)</f>
        <v>0</v>
      </c>
      <c r="S83" s="118">
        <f>IFERROR(VLOOKUP(B83,'AllFundsBudgetByAccount (not us'!A:P,16,0),0)</f>
        <v>0</v>
      </c>
      <c r="T83" s="118">
        <f>IFERROR(VLOOKUP(B83,'AllFundsBudgetByAccount (not us'!A:S,19,0),0)</f>
        <v>0</v>
      </c>
      <c r="U83" s="119">
        <f t="shared" si="3"/>
        <v>100000000</v>
      </c>
      <c r="V83" s="118">
        <v>41500000</v>
      </c>
      <c r="W83" s="26">
        <f t="shared" si="4"/>
        <v>58500000</v>
      </c>
      <c r="X83" s="23">
        <f t="shared" si="5"/>
        <v>1.4096385542168675</v>
      </c>
      <c r="Y83" s="23"/>
      <c r="Z83" s="4"/>
      <c r="AA83" s="3"/>
    </row>
    <row r="84" spans="1:27" ht="12" customHeight="1" x14ac:dyDescent="0.2">
      <c r="A84" s="3">
        <v>173003</v>
      </c>
      <c r="B84" s="30">
        <v>173003</v>
      </c>
      <c r="C84" s="29" t="s">
        <v>89</v>
      </c>
      <c r="D84" s="118">
        <f>IFERROR(VLOOKUP(B84,'AllFundsBudgetByAccount (not us'!A:C,3,0),0)</f>
        <v>0</v>
      </c>
      <c r="E84" s="118">
        <f>IFERROR(VLOOKUP(B84,'AllFundsBudgetByAccount (not us'!A:D,4,0),0)</f>
        <v>0</v>
      </c>
      <c r="F84" s="118">
        <f>IFERROR(VLOOKUP(B84,'AllFundsBudgetByAccount (not us'!A:E,5,0),0)</f>
        <v>0</v>
      </c>
      <c r="G84" s="118">
        <f>IFERROR(VLOOKUP(B84,'AllFundsBudgetByAccount (not us'!A:H,8,0),0)</f>
        <v>0</v>
      </c>
      <c r="H84" s="118">
        <f>IFERROR(VLOOKUP(B84,'AllFundsBudgetByAccount (not us'!A:J,10,0),0)</f>
        <v>0</v>
      </c>
      <c r="I84" s="118">
        <f>IFERROR(VLOOKUP(B84,'AllFundsBudgetByAccount (not us'!A:K,11,0),0)</f>
        <v>0</v>
      </c>
      <c r="J84" s="118">
        <f>IFERROR(VLOOKUP(B84,'AllFundsBudgetByAccount (not us'!A:N,14,0),0)</f>
        <v>0</v>
      </c>
      <c r="K84" s="118">
        <f>IFERROR(VLOOKUP(B84,'AllFundsBudgetByAccount (not us'!A:F,6,0),0)</f>
        <v>0</v>
      </c>
      <c r="L84" s="118">
        <f>IFERROR(VLOOKUP(B84,'AllFundsBudgetByAccount (not us'!A:Q,17,0),0)</f>
        <v>0</v>
      </c>
      <c r="M84" s="118">
        <f>IFERROR(VLOOKUP(B84,'AllFundsBudgetByAccount (not us'!A:R,18,0),0)</f>
        <v>0</v>
      </c>
      <c r="N84" s="118">
        <f>IFERROR(VLOOKUP(B84,'AllFundsBudgetByAccount (not us'!A:T,20,0),0)</f>
        <v>0</v>
      </c>
      <c r="O84" s="118">
        <f>IFERROR(VLOOKUP(B84,'AllFundsBudgetByAccount (not us'!A:G,7,0),0)</f>
        <v>0</v>
      </c>
      <c r="P84" s="118">
        <f>IFERROR(VLOOKUP(B84,'AllFundsBudgetByAccount (not us'!A:I,9,0),0)</f>
        <v>0</v>
      </c>
      <c r="Q84" s="118">
        <f>IFERROR(VLOOKUP(B84,'AllFundsBudgetByAccount (not us'!A:L,12,0),0)</f>
        <v>0</v>
      </c>
      <c r="R84" s="118">
        <f>IFERROR(VLOOKUP(B84,'AllFundsBudgetByAccount (not us'!A:M,13,0),0)</f>
        <v>0</v>
      </c>
      <c r="S84" s="118">
        <f>IFERROR(VLOOKUP(B84,'AllFundsBudgetByAccount (not us'!A:P,16,0),0)</f>
        <v>0</v>
      </c>
      <c r="T84" s="118">
        <f>IFERROR(VLOOKUP(B84,'AllFundsBudgetByAccount (not us'!A:S,19,0),0)</f>
        <v>0</v>
      </c>
      <c r="U84" s="119">
        <f t="shared" si="3"/>
        <v>0</v>
      </c>
      <c r="V84" s="118">
        <v>30000</v>
      </c>
      <c r="W84" s="26">
        <f t="shared" si="4"/>
        <v>-30000</v>
      </c>
      <c r="X84" s="23">
        <f t="shared" si="5"/>
        <v>-1</v>
      </c>
      <c r="Y84" s="23"/>
      <c r="Z84" s="4"/>
      <c r="AA84" s="3"/>
    </row>
    <row r="85" spans="1:27" ht="18" hidden="1" customHeight="1" x14ac:dyDescent="0.2">
      <c r="A85" s="3">
        <v>173005</v>
      </c>
      <c r="B85" s="30">
        <v>173005</v>
      </c>
      <c r="C85" s="29" t="s">
        <v>88</v>
      </c>
      <c r="D85" s="118">
        <v>0</v>
      </c>
      <c r="E85" s="118" t="s">
        <v>168</v>
      </c>
      <c r="F85" s="118" t="s">
        <v>168</v>
      </c>
      <c r="G85" s="118">
        <f>IFERROR(VLOOKUP(B85,'AllFundsBudgetByAccount (not us'!A:H,8,0),0)</f>
        <v>0</v>
      </c>
      <c r="H85" s="118">
        <f>IFERROR(VLOOKUP(B85,'AllFundsBudgetByAccount (not us'!A:J,10,0),0)</f>
        <v>0</v>
      </c>
      <c r="I85" s="118">
        <v>0</v>
      </c>
      <c r="J85" s="118">
        <f>IFERROR(VLOOKUP(B85,'AllFundsBudgetByAccount (not us'!A:N,14,0),0)</f>
        <v>0</v>
      </c>
      <c r="K85" s="118">
        <f>IFERROR(VLOOKUP(B85,'AllFundsBudgetByAccount (not us'!A:F,6,0),0)</f>
        <v>0</v>
      </c>
      <c r="L85" s="118">
        <f>IFERROR(VLOOKUP(B85,'AllFundsBudgetByAccount (not us'!A:Q,17,0),0)</f>
        <v>0</v>
      </c>
      <c r="M85" s="185">
        <f>IFERROR(VLOOKUP($B85,'OMF by Acct'!$A:$T,12,0),0)</f>
        <v>0</v>
      </c>
      <c r="N85" s="118">
        <f>IFERROR(VLOOKUP(B85,'AllFundsBudgetByAccount (not us'!A:T,20,0),0)</f>
        <v>0</v>
      </c>
      <c r="O85" s="184">
        <f>IFERROR(VLOOKUP($B85,'OMF by Acct'!$A:$T,14,0),0)</f>
        <v>0</v>
      </c>
      <c r="P85" s="118">
        <f>IFERROR(VLOOKUP(B85,'AllFundsBudgetByAccount (not us'!A:I,9,0),0)</f>
        <v>0</v>
      </c>
      <c r="Q85" s="184">
        <f>IFERROR(VLOOKUP($B85,'OMF by Acct'!$A:$T,16,0),0)</f>
        <v>0</v>
      </c>
      <c r="R85" s="118">
        <f>IFERROR(VLOOKUP($B85,'OMF by Acct'!$A:$T,17,0),0)</f>
        <v>0</v>
      </c>
      <c r="S85" s="118">
        <f>IFERROR(VLOOKUP(B85,'AllFundsBudgetByAccount (not us'!A:P,16,0),0)</f>
        <v>0</v>
      </c>
      <c r="T85" s="118">
        <f>IFERROR(VLOOKUP(B85,'AllFundsBudgetByAccount (not us'!A:S,19,0),0)</f>
        <v>0</v>
      </c>
      <c r="U85" s="119">
        <f t="shared" ref="U85:U89" si="6">SUM(D85:T85)</f>
        <v>0</v>
      </c>
      <c r="V85" s="118">
        <v>0</v>
      </c>
      <c r="W85" s="26">
        <f t="shared" si="4"/>
        <v>0</v>
      </c>
      <c r="X85" s="23">
        <f t="shared" si="5"/>
        <v>1</v>
      </c>
      <c r="Y85" s="23"/>
      <c r="Z85" s="4"/>
      <c r="AA85" s="3"/>
    </row>
    <row r="86" spans="1:27" ht="9.75" hidden="1" customHeight="1" x14ac:dyDescent="0.2">
      <c r="A86" s="3">
        <v>173005</v>
      </c>
      <c r="B86" s="30">
        <v>173005</v>
      </c>
      <c r="C86" s="29" t="s">
        <v>87</v>
      </c>
      <c r="D86" s="118">
        <v>0</v>
      </c>
      <c r="E86" s="118" t="s">
        <v>168</v>
      </c>
      <c r="F86" s="118" t="s">
        <v>168</v>
      </c>
      <c r="G86" s="118">
        <f>IFERROR(VLOOKUP(B86,'AllFundsBudgetByAccount (not us'!A:H,8,0),0)</f>
        <v>0</v>
      </c>
      <c r="H86" s="118">
        <f>IFERROR(VLOOKUP(B86,'AllFundsBudgetByAccount (not us'!A:J,10,0),0)</f>
        <v>0</v>
      </c>
      <c r="I86" s="118">
        <v>0</v>
      </c>
      <c r="J86" s="118">
        <f>IFERROR(VLOOKUP(B86,'AllFundsBudgetByAccount (not us'!A:N,14,0),0)</f>
        <v>0</v>
      </c>
      <c r="K86" s="118">
        <f>IFERROR(VLOOKUP(B86,'AllFundsBudgetByAccount (not us'!A:F,6,0),0)</f>
        <v>0</v>
      </c>
      <c r="L86" s="118">
        <f>IFERROR(VLOOKUP(B86,'AllFundsBudgetByAccount (not us'!A:Q,17,0),0)</f>
        <v>0</v>
      </c>
      <c r="M86" s="185">
        <f>IFERROR(VLOOKUP($B86,'OMF by Acct'!$A:$T,12,0),0)</f>
        <v>0</v>
      </c>
      <c r="N86" s="118">
        <f>IFERROR(VLOOKUP(B86,'AllFundsBudgetByAccount (not us'!A:T,20,0),0)</f>
        <v>0</v>
      </c>
      <c r="O86" s="184">
        <f>IFERROR(VLOOKUP($B86,'OMF by Acct'!$A:$T,14,0),0)</f>
        <v>0</v>
      </c>
      <c r="P86" s="118">
        <f>IFERROR(VLOOKUP(B86,'AllFundsBudgetByAccount (not us'!A:I,9,0),0)</f>
        <v>0</v>
      </c>
      <c r="Q86" s="184">
        <f>IFERROR(VLOOKUP($B86,'OMF by Acct'!$A:$T,16,0),0)</f>
        <v>0</v>
      </c>
      <c r="R86" s="118">
        <f>IFERROR(VLOOKUP($B86,'OMF by Acct'!$A:$T,17,0),0)</f>
        <v>0</v>
      </c>
      <c r="S86" s="118">
        <f>IFERROR(VLOOKUP(B86,'AllFundsBudgetByAccount (not us'!A:P,16,0),0)</f>
        <v>0</v>
      </c>
      <c r="T86" s="118">
        <f>IFERROR(VLOOKUP(B86,'AllFundsBudgetByAccount (not us'!A:S,19,0),0)</f>
        <v>0</v>
      </c>
      <c r="U86" s="119">
        <f t="shared" si="6"/>
        <v>0</v>
      </c>
      <c r="V86" s="118">
        <v>0</v>
      </c>
      <c r="W86" s="26">
        <f t="shared" si="4"/>
        <v>0</v>
      </c>
      <c r="X86" s="23">
        <f t="shared" si="5"/>
        <v>1</v>
      </c>
      <c r="Y86" s="23"/>
      <c r="Z86" s="4"/>
      <c r="AA86" s="3"/>
    </row>
    <row r="87" spans="1:27" ht="21" hidden="1" customHeight="1" x14ac:dyDescent="0.2">
      <c r="A87" s="3">
        <v>173005</v>
      </c>
      <c r="B87" s="30">
        <v>173005</v>
      </c>
      <c r="C87" s="29" t="s">
        <v>86</v>
      </c>
      <c r="D87" s="118">
        <v>0</v>
      </c>
      <c r="E87" s="118" t="s">
        <v>168</v>
      </c>
      <c r="F87" s="118" t="s">
        <v>168</v>
      </c>
      <c r="G87" s="118">
        <f>IFERROR(VLOOKUP(B87,'AllFundsBudgetByAccount (not us'!A:H,8,0),0)</f>
        <v>0</v>
      </c>
      <c r="H87" s="118">
        <f>IFERROR(VLOOKUP(B87,'AllFundsBudgetByAccount (not us'!A:J,10,0),0)</f>
        <v>0</v>
      </c>
      <c r="I87" s="118">
        <v>0</v>
      </c>
      <c r="J87" s="118">
        <f>IFERROR(VLOOKUP(B87,'AllFundsBudgetByAccount (not us'!A:N,14,0),0)</f>
        <v>0</v>
      </c>
      <c r="K87" s="118">
        <f>IFERROR(VLOOKUP(B87,'AllFundsBudgetByAccount (not us'!A:F,6,0),0)</f>
        <v>0</v>
      </c>
      <c r="L87" s="118">
        <f>IFERROR(VLOOKUP(B87,'AllFundsBudgetByAccount (not us'!A:Q,17,0),0)</f>
        <v>0</v>
      </c>
      <c r="M87" s="185">
        <f>IFERROR(VLOOKUP($B87,'OMF by Acct'!$A:$T,12,0),0)</f>
        <v>0</v>
      </c>
      <c r="N87" s="118">
        <f>IFERROR(VLOOKUP(B87,'AllFundsBudgetByAccount (not us'!A:T,20,0),0)</f>
        <v>0</v>
      </c>
      <c r="O87" s="184">
        <f>IFERROR(VLOOKUP($B87,'OMF by Acct'!$A:$T,14,0),0)</f>
        <v>0</v>
      </c>
      <c r="P87" s="118">
        <f>IFERROR(VLOOKUP(B87,'AllFundsBudgetByAccount (not us'!A:I,9,0),0)</f>
        <v>0</v>
      </c>
      <c r="Q87" s="184">
        <f>IFERROR(VLOOKUP($B87,'OMF by Acct'!$A:$T,16,0),0)</f>
        <v>0</v>
      </c>
      <c r="R87" s="118">
        <f>IFERROR(VLOOKUP($B87,'OMF by Acct'!$A:$T,17,0),0)</f>
        <v>0</v>
      </c>
      <c r="S87" s="118">
        <f>IFERROR(VLOOKUP(B87,'AllFundsBudgetByAccount (not us'!A:P,16,0),0)</f>
        <v>0</v>
      </c>
      <c r="T87" s="118">
        <f>IFERROR(VLOOKUP(B87,'AllFundsBudgetByAccount (not us'!A:S,19,0),0)</f>
        <v>0</v>
      </c>
      <c r="U87" s="119">
        <f t="shared" si="6"/>
        <v>0</v>
      </c>
      <c r="V87" s="118">
        <v>0</v>
      </c>
      <c r="W87" s="26">
        <f t="shared" si="4"/>
        <v>0</v>
      </c>
      <c r="X87" s="23">
        <f t="shared" si="5"/>
        <v>1</v>
      </c>
      <c r="Y87" s="23"/>
      <c r="Z87" s="4"/>
      <c r="AA87" s="3"/>
    </row>
    <row r="88" spans="1:27" ht="9" hidden="1" customHeight="1" x14ac:dyDescent="0.2">
      <c r="A88" s="3">
        <v>176001</v>
      </c>
      <c r="B88" s="30">
        <v>176001</v>
      </c>
      <c r="C88" s="29" t="s">
        <v>85</v>
      </c>
      <c r="D88" s="118">
        <v>0</v>
      </c>
      <c r="E88" s="118" t="s">
        <v>168</v>
      </c>
      <c r="F88" s="118" t="s">
        <v>168</v>
      </c>
      <c r="G88" s="118">
        <f>IFERROR(VLOOKUP(B88,'AllFundsBudgetByAccount (not us'!A:H,8,0),0)</f>
        <v>0</v>
      </c>
      <c r="H88" s="118">
        <f>IFERROR(VLOOKUP(B88,'AllFundsBudgetByAccount (not us'!A:J,10,0),0)</f>
        <v>0</v>
      </c>
      <c r="I88" s="118">
        <v>0</v>
      </c>
      <c r="J88" s="118">
        <f>IFERROR(VLOOKUP(B88,'AllFundsBudgetByAccount (not us'!A:N,14,0),0)</f>
        <v>0</v>
      </c>
      <c r="K88" s="118">
        <f>IFERROR(VLOOKUP(B88,'AllFundsBudgetByAccount (not us'!A:F,6,0),0)</f>
        <v>0</v>
      </c>
      <c r="L88" s="118">
        <f>IFERROR(VLOOKUP(B88,'AllFundsBudgetByAccount (not us'!A:Q,17,0),0)</f>
        <v>0</v>
      </c>
      <c r="M88" s="185">
        <f>IFERROR(VLOOKUP($B88,'OMF by Acct'!$A:$T,12,0),0)</f>
        <v>0</v>
      </c>
      <c r="N88" s="118">
        <f>IFERROR(VLOOKUP(B88,'AllFundsBudgetByAccount (not us'!A:T,20,0),0)</f>
        <v>0</v>
      </c>
      <c r="O88" s="184">
        <f>IFERROR(VLOOKUP($B88,'OMF by Acct'!$A:$T,14,0),0)</f>
        <v>0</v>
      </c>
      <c r="P88" s="118">
        <f>IFERROR(VLOOKUP(B88,'AllFundsBudgetByAccount (not us'!A:I,9,0),0)</f>
        <v>0</v>
      </c>
      <c r="Q88" s="184">
        <f>IFERROR(VLOOKUP($B88,'OMF by Acct'!$A:$T,16,0),0)</f>
        <v>0</v>
      </c>
      <c r="R88" s="118">
        <f>IFERROR(VLOOKUP($B88,'OMF by Acct'!$A:$T,17,0),0)</f>
        <v>0</v>
      </c>
      <c r="S88" s="118">
        <f>IFERROR(VLOOKUP(B88,'AllFundsBudgetByAccount (not us'!A:P,16,0),0)</f>
        <v>0</v>
      </c>
      <c r="T88" s="118">
        <f>IFERROR(VLOOKUP(B88,'AllFundsBudgetByAccount (not us'!A:S,19,0),0)</f>
        <v>0</v>
      </c>
      <c r="U88" s="119">
        <f t="shared" si="6"/>
        <v>0</v>
      </c>
      <c r="V88" s="118">
        <v>0</v>
      </c>
      <c r="W88" s="26">
        <f t="shared" si="4"/>
        <v>0</v>
      </c>
      <c r="X88" s="23">
        <f t="shared" si="5"/>
        <v>1</v>
      </c>
      <c r="Y88" s="23"/>
      <c r="Z88" s="4"/>
      <c r="AA88" s="3"/>
    </row>
    <row r="89" spans="1:27" ht="12.75" hidden="1" customHeight="1" x14ac:dyDescent="0.2">
      <c r="A89" s="3">
        <v>176001</v>
      </c>
      <c r="B89" s="30">
        <v>176001</v>
      </c>
      <c r="C89" s="29" t="s">
        <v>84</v>
      </c>
      <c r="D89" s="118">
        <v>0</v>
      </c>
      <c r="E89" s="118" t="s">
        <v>168</v>
      </c>
      <c r="F89" s="118" t="s">
        <v>168</v>
      </c>
      <c r="G89" s="118">
        <f>IFERROR(VLOOKUP(B89,'AllFundsBudgetByAccount (not us'!A:H,8,0),0)</f>
        <v>0</v>
      </c>
      <c r="H89" s="118">
        <f>IFERROR(VLOOKUP(B89,'AllFundsBudgetByAccount (not us'!A:J,10,0),0)</f>
        <v>0</v>
      </c>
      <c r="I89" s="118">
        <v>0</v>
      </c>
      <c r="J89" s="118">
        <f>IFERROR(VLOOKUP(B89,'AllFundsBudgetByAccount (not us'!A:N,14,0),0)</f>
        <v>0</v>
      </c>
      <c r="K89" s="118">
        <f>IFERROR(VLOOKUP(B89,'AllFundsBudgetByAccount (not us'!A:F,6,0),0)</f>
        <v>0</v>
      </c>
      <c r="L89" s="118">
        <f>IFERROR(VLOOKUP(B89,'AllFundsBudgetByAccount (not us'!A:Q,17,0),0)</f>
        <v>0</v>
      </c>
      <c r="M89" s="185">
        <f>IFERROR(VLOOKUP($B89,'OMF by Acct'!$A:$T,12,0),0)</f>
        <v>0</v>
      </c>
      <c r="N89" s="118">
        <f>IFERROR(VLOOKUP(B89,'AllFundsBudgetByAccount (not us'!A:T,20,0),0)</f>
        <v>0</v>
      </c>
      <c r="O89" s="184">
        <f>IFERROR(VLOOKUP($B89,'OMF by Acct'!$A:$T,14,0),0)</f>
        <v>0</v>
      </c>
      <c r="P89" s="118">
        <f>IFERROR(VLOOKUP(B89,'AllFundsBudgetByAccount (not us'!A:I,9,0),0)</f>
        <v>0</v>
      </c>
      <c r="Q89" s="184">
        <f>IFERROR(VLOOKUP($B89,'OMF by Acct'!$A:$T,16,0),0)</f>
        <v>0</v>
      </c>
      <c r="R89" s="118">
        <f>IFERROR(VLOOKUP($B89,'OMF by Acct'!$A:$T,17,0),0)</f>
        <v>0</v>
      </c>
      <c r="S89" s="118">
        <f>IFERROR(VLOOKUP(B89,'AllFundsBudgetByAccount (not us'!A:P,16,0),0)</f>
        <v>0</v>
      </c>
      <c r="T89" s="118">
        <f>IFERROR(VLOOKUP(B89,'AllFundsBudgetByAccount (not us'!A:S,19,0),0)</f>
        <v>0</v>
      </c>
      <c r="U89" s="119">
        <f t="shared" si="6"/>
        <v>0</v>
      </c>
      <c r="V89" s="118">
        <v>0</v>
      </c>
      <c r="W89" s="26">
        <f t="shared" si="4"/>
        <v>0</v>
      </c>
      <c r="X89" s="23">
        <f t="shared" si="5"/>
        <v>1</v>
      </c>
      <c r="Y89" s="23"/>
      <c r="Z89" s="4"/>
      <c r="AA89" s="3"/>
    </row>
    <row r="90" spans="1:27" ht="0.75" customHeight="1" x14ac:dyDescent="0.2">
      <c r="A90" s="3">
        <v>176001</v>
      </c>
      <c r="B90" s="30">
        <v>176001</v>
      </c>
      <c r="C90" s="29" t="s">
        <v>83</v>
      </c>
      <c r="D90" s="118" t="e">
        <v>#N/A</v>
      </c>
      <c r="E90" s="118" t="s">
        <v>168</v>
      </c>
      <c r="F90" s="118" t="s">
        <v>168</v>
      </c>
      <c r="G90" s="118">
        <f>IFERROR(VLOOKUP(B90,'AllFundsBudgetByAccount (not us'!A:H,8,0),0)</f>
        <v>0</v>
      </c>
      <c r="H90" s="118">
        <f>IFERROR(VLOOKUP(B90,'AllFundsBudgetByAccount (not us'!A:J,10,0),0)</f>
        <v>0</v>
      </c>
      <c r="I90" s="118">
        <v>0</v>
      </c>
      <c r="J90" s="118">
        <f>IFERROR(VLOOKUP(B90,'AllFundsBudgetByAccount (not us'!A:N,14,0),0)</f>
        <v>0</v>
      </c>
      <c r="K90" s="118">
        <f>IFERROR(VLOOKUP(B90,'AllFundsBudgetByAccount (not us'!A:F,6,0),0)</f>
        <v>0</v>
      </c>
      <c r="L90" s="118">
        <f>IFERROR(VLOOKUP(B90,'AllFundsBudgetByAccount (not us'!A:Q,17,0),0)</f>
        <v>0</v>
      </c>
      <c r="M90" s="185"/>
      <c r="N90" s="118">
        <f>IFERROR(VLOOKUP(B90,'AllFundsBudgetByAccount (not us'!A:T,20,0),0)</f>
        <v>0</v>
      </c>
      <c r="O90" s="184">
        <f>IFERROR(VLOOKUP($B90,'OMF by Acct'!$A:$T,14,0),0)</f>
        <v>0</v>
      </c>
      <c r="P90" s="118">
        <f>IFERROR(VLOOKUP(B90,'AllFundsBudgetByAccount (not us'!A:I,9,0),0)</f>
        <v>0</v>
      </c>
      <c r="Q90" s="184">
        <f>IFERROR(VLOOKUP($B90,'OMF by Acct'!$A:$T,16,0),0)</f>
        <v>0</v>
      </c>
      <c r="R90" s="118">
        <f>IFERROR(VLOOKUP($B90,'OMF by Acct'!$A:$T,17,0),0)</f>
        <v>0</v>
      </c>
      <c r="S90" s="118">
        <f>IFERROR(VLOOKUP(B90,'AllFundsBudgetByAccount (not us'!A:P,16,0),0)</f>
        <v>0</v>
      </c>
      <c r="T90" s="118">
        <f>IFERROR(VLOOKUP(B90,'AllFundsBudgetByAccount (not us'!A:S,19,0),0)</f>
        <v>0</v>
      </c>
      <c r="U90" s="119" t="e">
        <f>SUM(D90:T90)</f>
        <v>#N/A</v>
      </c>
      <c r="V90" s="118">
        <v>0</v>
      </c>
      <c r="W90" s="26" t="e">
        <f t="shared" si="4"/>
        <v>#N/A</v>
      </c>
      <c r="X90" s="23">
        <f t="shared" si="5"/>
        <v>1</v>
      </c>
      <c r="Y90" s="23"/>
      <c r="Z90" s="4"/>
      <c r="AA90" s="3"/>
    </row>
    <row r="91" spans="1:27" ht="4.5" customHeight="1" thickBot="1" x14ac:dyDescent="0.25">
      <c r="C91" s="25"/>
      <c r="D91" s="120"/>
      <c r="E91" s="120"/>
      <c r="F91" s="120"/>
      <c r="G91" s="120"/>
      <c r="H91" s="118">
        <f>IFERROR(VLOOKUP(B91,'AllFundsBudgetByAccount (not us'!A:J,10,0),0)</f>
        <v>0</v>
      </c>
      <c r="I91" s="118">
        <v>0</v>
      </c>
      <c r="J91" s="120"/>
      <c r="K91" s="118">
        <f>IFERROR(VLOOKUP(B91,'AllFundsBudgetByAccount (not us'!A:F,6,0),0)</f>
        <v>0</v>
      </c>
      <c r="L91" s="118">
        <f>IFERROR(VLOOKUP(B91,'AllFundsBudgetByAccount (not us'!A:Q,17,0),0)</f>
        <v>0</v>
      </c>
      <c r="M91" s="187"/>
      <c r="N91" s="186"/>
      <c r="O91" s="184">
        <f>IFERROR(VLOOKUP($B91,'OMF by Acct'!$A:$T,14,0),0)</f>
        <v>0</v>
      </c>
      <c r="P91" s="118">
        <f>IFERROR(VLOOKUP(B91,'AllFundsBudgetByAccount (not us'!A:I,9,0),0)</f>
        <v>0</v>
      </c>
      <c r="Q91" s="184">
        <f>IFERROR(VLOOKUP($B91,'OMF by Acct'!$A:$T,16,0),0)</f>
        <v>0</v>
      </c>
      <c r="R91" s="120"/>
      <c r="S91" s="118">
        <f>IFERROR(VLOOKUP(B91,'AllFundsBudgetByAccount (not us'!A:P,16,0),0)</f>
        <v>0</v>
      </c>
      <c r="T91" s="118">
        <f>IFERROR(VLOOKUP(B91,'AllFundsBudgetByAccount (not us'!A:S,19,0),0)</f>
        <v>0</v>
      </c>
      <c r="U91" s="121"/>
      <c r="V91" s="121"/>
      <c r="W91" s="26"/>
      <c r="X91" s="23">
        <f t="shared" ref="X91" si="7">IF(V91=0,100%,W91/V91)</f>
        <v>1</v>
      </c>
      <c r="Y91" s="23"/>
      <c r="Z91" s="4"/>
      <c r="AA91" s="3"/>
    </row>
    <row r="92" spans="1:27" ht="12" customHeight="1" thickBot="1" x14ac:dyDescent="0.25">
      <c r="C92" s="22" t="s">
        <v>13</v>
      </c>
      <c r="D92" s="20">
        <f>SUM(D11:D84)</f>
        <v>2264017.3878959999</v>
      </c>
      <c r="E92" s="127">
        <f t="shared" ref="E92:W92" si="8">SUM(E11:E84)</f>
        <v>834625.17572299996</v>
      </c>
      <c r="F92" s="127">
        <f t="shared" si="8"/>
        <v>105621</v>
      </c>
      <c r="G92" s="127">
        <f>SUM(G11:G84)</f>
        <v>3113027.5792319998</v>
      </c>
      <c r="H92" s="127">
        <f t="shared" si="8"/>
        <v>1403645.4394129999</v>
      </c>
      <c r="I92" s="127">
        <f>SUM(I11:I84)</f>
        <v>5456302.6744480003</v>
      </c>
      <c r="J92" s="127">
        <f t="shared" si="8"/>
        <v>1399393.386525</v>
      </c>
      <c r="K92" s="188">
        <f t="shared" si="8"/>
        <v>902064.84445800004</v>
      </c>
      <c r="L92" s="188">
        <f t="shared" si="8"/>
        <v>5199632</v>
      </c>
      <c r="M92" s="188">
        <f t="shared" si="8"/>
        <v>55744163.048851997</v>
      </c>
      <c r="N92" s="188">
        <f>SUM(N11:N84)</f>
        <v>773755736.59972799</v>
      </c>
      <c r="O92" s="188">
        <f t="shared" si="8"/>
        <v>122472909.88148099</v>
      </c>
      <c r="P92" s="188">
        <f t="shared" si="8"/>
        <v>137017100.99768901</v>
      </c>
      <c r="Q92" s="188">
        <f t="shared" si="8"/>
        <v>100460742.40892</v>
      </c>
      <c r="R92" s="127">
        <f>SUM(R11:R84)</f>
        <v>4126641.3523519998</v>
      </c>
      <c r="S92" s="127">
        <f t="shared" si="8"/>
        <v>9593401.8398230001</v>
      </c>
      <c r="T92" s="127">
        <f t="shared" si="8"/>
        <v>2933033.52</v>
      </c>
      <c r="U92" s="127">
        <f>SUM(U11:U84)</f>
        <v>1226782059.1365399</v>
      </c>
      <c r="V92" s="127">
        <f>SUM(V11:V84)-2</f>
        <v>731890271.183231</v>
      </c>
      <c r="W92" s="127">
        <f t="shared" si="8"/>
        <v>494891785.953309</v>
      </c>
      <c r="X92" s="17">
        <f>IF(V92=0,100%,W92/V92)</f>
        <v>0.67618303649975875</v>
      </c>
      <c r="Y92" s="16"/>
      <c r="Z92" s="4"/>
      <c r="AA92" s="3"/>
    </row>
    <row r="93" spans="1:27" ht="4.5" customHeight="1" thickTop="1" x14ac:dyDescent="0.2">
      <c r="C93" s="11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4"/>
      <c r="AA93" s="3"/>
    </row>
    <row r="94" spans="1:27" ht="4.5" customHeight="1" x14ac:dyDescent="0.2">
      <c r="C94" s="11"/>
      <c r="D94" s="12"/>
      <c r="E94" s="12"/>
      <c r="F94" s="12"/>
      <c r="G94" s="12"/>
      <c r="H94" s="12"/>
      <c r="I94" s="12"/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4"/>
      <c r="AA94" s="3"/>
    </row>
    <row r="95" spans="1:27" ht="27" customHeight="1" outlineLevel="1" x14ac:dyDescent="0.2">
      <c r="C95" s="11"/>
      <c r="D95" s="13"/>
      <c r="E95" s="13"/>
      <c r="F95" s="13"/>
      <c r="G95" s="15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5"/>
      <c r="V95" s="13">
        <v>253614491</v>
      </c>
      <c r="W95" s="192" t="s">
        <v>217</v>
      </c>
      <c r="X95" s="12"/>
      <c r="Y95" s="12"/>
      <c r="Z95" s="4"/>
      <c r="AA95" s="3"/>
    </row>
    <row r="96" spans="1:27" ht="27.75" customHeight="1" outlineLevel="1" x14ac:dyDescent="0.2">
      <c r="C96" s="11"/>
      <c r="D96" s="10"/>
      <c r="E96" s="10"/>
      <c r="F96" s="10"/>
      <c r="G96" s="10"/>
      <c r="H96" s="10" t="s">
        <v>216</v>
      </c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5"/>
      <c r="V96" s="10">
        <v>97481261</v>
      </c>
      <c r="W96" s="192" t="s">
        <v>170</v>
      </c>
      <c r="X96" s="8"/>
      <c r="Y96" s="8"/>
      <c r="Z96" s="4"/>
      <c r="AA96" s="3"/>
    </row>
    <row r="97" spans="3:26" ht="23.25" customHeight="1" outlineLevel="1" x14ac:dyDescent="0.2"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189"/>
      <c r="Q97" s="4"/>
      <c r="R97" s="4"/>
      <c r="S97" s="4"/>
      <c r="T97" s="4"/>
      <c r="U97" s="15"/>
      <c r="V97" s="10">
        <v>347964968</v>
      </c>
      <c r="W97" s="192" t="s">
        <v>171</v>
      </c>
      <c r="X97" s="4"/>
      <c r="Y97" s="4"/>
      <c r="Z97" s="4"/>
    </row>
    <row r="98" spans="3:26" ht="22.5" customHeight="1" outlineLevel="1" x14ac:dyDescent="0.2">
      <c r="C98" s="4"/>
      <c r="D98" s="4"/>
      <c r="E98" s="4"/>
      <c r="F98" s="4"/>
      <c r="G98" s="4"/>
      <c r="H98" s="4"/>
      <c r="I98" s="4"/>
      <c r="J98" s="15"/>
      <c r="K98" s="15"/>
      <c r="L98" s="4"/>
      <c r="M98" s="4"/>
      <c r="N98" s="15"/>
      <c r="O98" s="4"/>
      <c r="P98" s="15"/>
      <c r="Q98" s="15"/>
      <c r="R98" s="4"/>
      <c r="S98" s="4"/>
      <c r="T98" s="4"/>
      <c r="U98" s="15"/>
      <c r="V98" s="33">
        <v>32829551</v>
      </c>
      <c r="W98" s="192" t="s">
        <v>218</v>
      </c>
      <c r="X98" s="4"/>
      <c r="Y98" s="4"/>
      <c r="Z98" s="4"/>
    </row>
    <row r="99" spans="3:26" ht="14.25" customHeight="1" outlineLevel="1" x14ac:dyDescent="0.2">
      <c r="C99" s="4"/>
      <c r="D99" s="4"/>
      <c r="E99" s="4"/>
      <c r="F99" s="4"/>
      <c r="G99" s="4"/>
      <c r="H99" s="4"/>
      <c r="I99" s="4"/>
      <c r="J99" s="15"/>
      <c r="K99" s="15"/>
      <c r="L99" s="4"/>
      <c r="M99" s="4"/>
      <c r="N99" s="15"/>
      <c r="O99" s="4"/>
      <c r="P99" s="15"/>
      <c r="Q99" s="15"/>
      <c r="R99" s="4"/>
      <c r="S99" s="4"/>
      <c r="T99" s="4"/>
      <c r="U99" s="15"/>
      <c r="V99" s="15"/>
      <c r="W99" s="192"/>
      <c r="X99" s="4"/>
      <c r="Y99" s="4"/>
      <c r="Z99" s="4"/>
    </row>
    <row r="100" spans="3:26" outlineLevel="1" x14ac:dyDescent="0.2"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15"/>
      <c r="V100" s="15">
        <f>SUM(V95:V98)</f>
        <v>731890271</v>
      </c>
      <c r="W100" s="192"/>
      <c r="X100" s="4"/>
      <c r="Y100" s="4"/>
      <c r="Z100" s="4"/>
    </row>
    <row r="101" spans="3:26" outlineLevel="1" x14ac:dyDescent="0.2"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15"/>
      <c r="O101" s="4"/>
      <c r="P101" s="190"/>
      <c r="Q101" s="15"/>
      <c r="R101" s="4"/>
      <c r="S101" s="4"/>
      <c r="T101" s="4"/>
      <c r="U101" s="4"/>
      <c r="V101" s="4"/>
      <c r="W101" s="190"/>
      <c r="X101" s="4"/>
      <c r="Y101" s="4"/>
      <c r="Z101" s="4"/>
    </row>
    <row r="102" spans="3:26" x14ac:dyDescent="0.2"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189"/>
      <c r="V102" s="189">
        <f>+V92-V100</f>
        <v>0.18323099613189697</v>
      </c>
      <c r="W102" s="4"/>
      <c r="X102" s="4"/>
      <c r="Y102" s="4"/>
      <c r="Z102" s="4"/>
    </row>
    <row r="103" spans="3:26" x14ac:dyDescent="0.2"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190"/>
      <c r="Q103" s="4"/>
      <c r="R103" s="4"/>
      <c r="S103" s="4"/>
      <c r="T103" s="4"/>
      <c r="U103" s="15"/>
      <c r="V103" s="192"/>
      <c r="W103" s="4"/>
      <c r="X103" s="4"/>
      <c r="Y103" s="4"/>
      <c r="Z103" s="4"/>
    </row>
    <row r="104" spans="3:26" x14ac:dyDescent="0.2"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15"/>
      <c r="W104" s="4"/>
      <c r="X104" s="4"/>
      <c r="Y104" s="4"/>
      <c r="Z104" s="4"/>
    </row>
    <row r="105" spans="3:26" x14ac:dyDescent="0.2"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191"/>
      <c r="Q105" s="4"/>
      <c r="R105" s="4"/>
      <c r="S105" s="4"/>
      <c r="T105" s="4"/>
      <c r="U105" s="15"/>
      <c r="V105" s="4"/>
      <c r="W105" s="4"/>
      <c r="X105" s="4"/>
      <c r="Y105" s="4"/>
      <c r="Z105" s="4"/>
    </row>
    <row r="106" spans="3:26" x14ac:dyDescent="0.2"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3:26" x14ac:dyDescent="0.2"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3:26" x14ac:dyDescent="0.2"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3:26" x14ac:dyDescent="0.2"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3:26" x14ac:dyDescent="0.2"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3:26" x14ac:dyDescent="0.2"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3:26" x14ac:dyDescent="0.2"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3:26" x14ac:dyDescent="0.2"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3:26" x14ac:dyDescent="0.2"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3:26" x14ac:dyDescent="0.2"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3:26" x14ac:dyDescent="0.2"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3:26" x14ac:dyDescent="0.2"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3:26" x14ac:dyDescent="0.2"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3:26" x14ac:dyDescent="0.2"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3:26" x14ac:dyDescent="0.2"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3:26" x14ac:dyDescent="0.2"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3:26" x14ac:dyDescent="0.2"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3:26" x14ac:dyDescent="0.2"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3:26" x14ac:dyDescent="0.2"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3:26" x14ac:dyDescent="0.2"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3:26" x14ac:dyDescent="0.2"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3:26" x14ac:dyDescent="0.2"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3:26" x14ac:dyDescent="0.2"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3:26" x14ac:dyDescent="0.2"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3:26" x14ac:dyDescent="0.2"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3:26" x14ac:dyDescent="0.2"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3:26" x14ac:dyDescent="0.2"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3:26" x14ac:dyDescent="0.2"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3:26" x14ac:dyDescent="0.2"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3:26" x14ac:dyDescent="0.2"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3:26" x14ac:dyDescent="0.2"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3:26" x14ac:dyDescent="0.2"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3:26" x14ac:dyDescent="0.2"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3:26" x14ac:dyDescent="0.2"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3:26" x14ac:dyDescent="0.2"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3:26" x14ac:dyDescent="0.2"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3:26" x14ac:dyDescent="0.2"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3:26" x14ac:dyDescent="0.2"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3:26" x14ac:dyDescent="0.2"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3:26" x14ac:dyDescent="0.2"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3:26" x14ac:dyDescent="0.2"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3:26" x14ac:dyDescent="0.2"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3:26" x14ac:dyDescent="0.2"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3:26" x14ac:dyDescent="0.2"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3:26" x14ac:dyDescent="0.2"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3:26" x14ac:dyDescent="0.2"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3:26" x14ac:dyDescent="0.2"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3:26" x14ac:dyDescent="0.2"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3:26" x14ac:dyDescent="0.2"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3:26" x14ac:dyDescent="0.2"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3:26" x14ac:dyDescent="0.2"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3:26" x14ac:dyDescent="0.2"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3:26" x14ac:dyDescent="0.2"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3:26" x14ac:dyDescent="0.2"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3:26" x14ac:dyDescent="0.2"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3:26" x14ac:dyDescent="0.2"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3:26" x14ac:dyDescent="0.2"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3:26" x14ac:dyDescent="0.2"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3:26" x14ac:dyDescent="0.2"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3:26" x14ac:dyDescent="0.2"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3:26" x14ac:dyDescent="0.2"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3:26" x14ac:dyDescent="0.2"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3:26" x14ac:dyDescent="0.2"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3:26" x14ac:dyDescent="0.2"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3:26" x14ac:dyDescent="0.2"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3:26" x14ac:dyDescent="0.2"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3:26" x14ac:dyDescent="0.2"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3:26" x14ac:dyDescent="0.2"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3:26" x14ac:dyDescent="0.2"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3:26" x14ac:dyDescent="0.2"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3:26" x14ac:dyDescent="0.2"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3:26" x14ac:dyDescent="0.2"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3:26" x14ac:dyDescent="0.2"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3:26" x14ac:dyDescent="0.2"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3:26" x14ac:dyDescent="0.2"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3:26" x14ac:dyDescent="0.2"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3:26" x14ac:dyDescent="0.2"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3:26" x14ac:dyDescent="0.2"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3:26" x14ac:dyDescent="0.2"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3:26" x14ac:dyDescent="0.2"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3:26" x14ac:dyDescent="0.2"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3:26" x14ac:dyDescent="0.2"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3:26" x14ac:dyDescent="0.2"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3:26" x14ac:dyDescent="0.2"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3:26" x14ac:dyDescent="0.2"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3:26" x14ac:dyDescent="0.2"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3:26" x14ac:dyDescent="0.2"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3:26" x14ac:dyDescent="0.2"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3:26" x14ac:dyDescent="0.2"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3:26" x14ac:dyDescent="0.2"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3:26" x14ac:dyDescent="0.2"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3:26" x14ac:dyDescent="0.2"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3:26" x14ac:dyDescent="0.2"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3:26" x14ac:dyDescent="0.2"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3:26" x14ac:dyDescent="0.2"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3:26" x14ac:dyDescent="0.2"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3:26" x14ac:dyDescent="0.2"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3:26" x14ac:dyDescent="0.2"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3:26" x14ac:dyDescent="0.2"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3:26" x14ac:dyDescent="0.2"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3:26" x14ac:dyDescent="0.2"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3:26" x14ac:dyDescent="0.2"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3:26" x14ac:dyDescent="0.2"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3:26" x14ac:dyDescent="0.2"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3:26" x14ac:dyDescent="0.2"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3:26" x14ac:dyDescent="0.2"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3:26" x14ac:dyDescent="0.2"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3:26" x14ac:dyDescent="0.2"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3:26" x14ac:dyDescent="0.2"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3:26" x14ac:dyDescent="0.2"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3:26" x14ac:dyDescent="0.2"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3:26" x14ac:dyDescent="0.2"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3:26" x14ac:dyDescent="0.2"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3:26" x14ac:dyDescent="0.2"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3:26" x14ac:dyDescent="0.2"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3:26" x14ac:dyDescent="0.2"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3:26" x14ac:dyDescent="0.2"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3:26" x14ac:dyDescent="0.2"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3:26" x14ac:dyDescent="0.2"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3:26" x14ac:dyDescent="0.2"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3:26" x14ac:dyDescent="0.2"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3:26" x14ac:dyDescent="0.2"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3:26" x14ac:dyDescent="0.2"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3:26" x14ac:dyDescent="0.2"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3:26" x14ac:dyDescent="0.2"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3:26" x14ac:dyDescent="0.2"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3:26" x14ac:dyDescent="0.2"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3:26" x14ac:dyDescent="0.2"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3:26" x14ac:dyDescent="0.2"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3:26" x14ac:dyDescent="0.2"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3:26" x14ac:dyDescent="0.2"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3:26" x14ac:dyDescent="0.2"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3:26" x14ac:dyDescent="0.2"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3:26" x14ac:dyDescent="0.2"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3:26" x14ac:dyDescent="0.2"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3:26" x14ac:dyDescent="0.2"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3:26" x14ac:dyDescent="0.2"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3:26" x14ac:dyDescent="0.2"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3:26" x14ac:dyDescent="0.2"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3:26" x14ac:dyDescent="0.2"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3:26" x14ac:dyDescent="0.2"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3:26" x14ac:dyDescent="0.2"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3:26" x14ac:dyDescent="0.2"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3:26" x14ac:dyDescent="0.2"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3:26" x14ac:dyDescent="0.2"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3:26" x14ac:dyDescent="0.2"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3:26" x14ac:dyDescent="0.2"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3:26" x14ac:dyDescent="0.2"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3:26" x14ac:dyDescent="0.2"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3:26" x14ac:dyDescent="0.2"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3:26" x14ac:dyDescent="0.2"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3:26" x14ac:dyDescent="0.2"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3:26" x14ac:dyDescent="0.2"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3:26" x14ac:dyDescent="0.2"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3:26" x14ac:dyDescent="0.2"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3:26" x14ac:dyDescent="0.2"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3:26" x14ac:dyDescent="0.2"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3:26" x14ac:dyDescent="0.2"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3:26" x14ac:dyDescent="0.2"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3:26" x14ac:dyDescent="0.2"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3:26" x14ac:dyDescent="0.2"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3:26" x14ac:dyDescent="0.2"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3:26" x14ac:dyDescent="0.2"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3:26" x14ac:dyDescent="0.2"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3:26" x14ac:dyDescent="0.2"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3:26" x14ac:dyDescent="0.2"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3:26" x14ac:dyDescent="0.2"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3:26" x14ac:dyDescent="0.2"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3:26" x14ac:dyDescent="0.2"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3:26" x14ac:dyDescent="0.2"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3:26" x14ac:dyDescent="0.2"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3:26" x14ac:dyDescent="0.2"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3:26" x14ac:dyDescent="0.2"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3:26" x14ac:dyDescent="0.2"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3:26" x14ac:dyDescent="0.2"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3:26" x14ac:dyDescent="0.2"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3:26" x14ac:dyDescent="0.2"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3:26" x14ac:dyDescent="0.2"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3:26" x14ac:dyDescent="0.2"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3:26" x14ac:dyDescent="0.2"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3:26" x14ac:dyDescent="0.2"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3:26" x14ac:dyDescent="0.2"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3:26" x14ac:dyDescent="0.2"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3:26" x14ac:dyDescent="0.2"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3:26" x14ac:dyDescent="0.2"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3:26" x14ac:dyDescent="0.2"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3:26" x14ac:dyDescent="0.2"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3:26" x14ac:dyDescent="0.2"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3:26" x14ac:dyDescent="0.2"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3:26" x14ac:dyDescent="0.2"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3:26" x14ac:dyDescent="0.2"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3:26" x14ac:dyDescent="0.2"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3:26" x14ac:dyDescent="0.2"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3:26" x14ac:dyDescent="0.2"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3:26" x14ac:dyDescent="0.2"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3:26" x14ac:dyDescent="0.2"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3:26" x14ac:dyDescent="0.2"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3:26" x14ac:dyDescent="0.2"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3:26" x14ac:dyDescent="0.2"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3:26" x14ac:dyDescent="0.2"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3:26" x14ac:dyDescent="0.2"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3:26" x14ac:dyDescent="0.2"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3:26" x14ac:dyDescent="0.2"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3:26" x14ac:dyDescent="0.2"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3:26" x14ac:dyDescent="0.2"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3:26" x14ac:dyDescent="0.2"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3:26" x14ac:dyDescent="0.2"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3:26" x14ac:dyDescent="0.2"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3:26" x14ac:dyDescent="0.2"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3:26" x14ac:dyDescent="0.2"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3:26" x14ac:dyDescent="0.2"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3:26" x14ac:dyDescent="0.2"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3:26" x14ac:dyDescent="0.2"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3:26" x14ac:dyDescent="0.2"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3:26" x14ac:dyDescent="0.2"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3:26" x14ac:dyDescent="0.2"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3:26" x14ac:dyDescent="0.2"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3:26" x14ac:dyDescent="0.2"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3:26" x14ac:dyDescent="0.2"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3:26" x14ac:dyDescent="0.2"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3:26" x14ac:dyDescent="0.2"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3:26" x14ac:dyDescent="0.2"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3:26" x14ac:dyDescent="0.2"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3:26" x14ac:dyDescent="0.2"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3:26" x14ac:dyDescent="0.2"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3:26" x14ac:dyDescent="0.2"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3:26" x14ac:dyDescent="0.2"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3:26" x14ac:dyDescent="0.2"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3:26" x14ac:dyDescent="0.2"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3:26" x14ac:dyDescent="0.2"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3:26" x14ac:dyDescent="0.2"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3:26" x14ac:dyDescent="0.2"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3:26" x14ac:dyDescent="0.2"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3:26" x14ac:dyDescent="0.2"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3:26" x14ac:dyDescent="0.2"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3:26" x14ac:dyDescent="0.2"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3:26" x14ac:dyDescent="0.2"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3:26" x14ac:dyDescent="0.2"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3:26" x14ac:dyDescent="0.2"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3:26" x14ac:dyDescent="0.2"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3:26" x14ac:dyDescent="0.2"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3:26" x14ac:dyDescent="0.2"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3:26" x14ac:dyDescent="0.2"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3:26" x14ac:dyDescent="0.2"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3:26" x14ac:dyDescent="0.2"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3:26" x14ac:dyDescent="0.2"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3:26" x14ac:dyDescent="0.2"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3:26" x14ac:dyDescent="0.2"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3:26" x14ac:dyDescent="0.2"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3:26" x14ac:dyDescent="0.2"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3:26" x14ac:dyDescent="0.2"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3:26" x14ac:dyDescent="0.2"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3:26" x14ac:dyDescent="0.2"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3:26" x14ac:dyDescent="0.2"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3:26" x14ac:dyDescent="0.2"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3:26" x14ac:dyDescent="0.2"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3:26" x14ac:dyDescent="0.2"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3:26" x14ac:dyDescent="0.2"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3:26" x14ac:dyDescent="0.2"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3:26" x14ac:dyDescent="0.2"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</sheetData>
  <phoneticPr fontId="19" type="noConversion"/>
  <conditionalFormatting sqref="D95:Y96">
    <cfRule type="cellIs" dxfId="35" priority="5" operator="greaterThan">
      <formula>0</formula>
    </cfRule>
  </conditionalFormatting>
  <conditionalFormatting sqref="U97:W98">
    <cfRule type="cellIs" dxfId="34" priority="1" operator="greaterThan">
      <formula>0</formula>
    </cfRule>
  </conditionalFormatting>
  <pageMargins left="0.75" right="0.75" top="1" bottom="1" header="0.5" footer="0.5"/>
  <pageSetup orientation="portrait" r:id="rId1"/>
  <ignoredErrors>
    <ignoredError sqref="V92" formula="1"/>
  </ignoredErrors>
  <drawing r:id="rId2"/>
  <legacyDrawing r:id="rId3"/>
  <controls>
    <mc:AlternateContent xmlns:mc="http://schemas.openxmlformats.org/markup-compatibility/2006">
      <mc:Choice Requires="x14">
        <control shapeId="2051" r:id="rId4" name="Control 3">
          <controlPr defaultSize="0" r:id="rId5">
            <anchor moveWithCells="1">
              <from>
                <xdr:col>2</xdr:col>
                <xdr:colOff>2390775</xdr:colOff>
                <xdr:row>0</xdr:row>
                <xdr:rowOff>0</xdr:rowOff>
              </from>
              <to>
                <xdr:col>3</xdr:col>
                <xdr:colOff>733425</xdr:colOff>
                <xdr:row>1</xdr:row>
                <xdr:rowOff>47625</xdr:rowOff>
              </to>
            </anchor>
          </controlPr>
        </control>
      </mc:Choice>
      <mc:Fallback>
        <control shapeId="2051" r:id="rId4" name="Control 3"/>
      </mc:Fallback>
    </mc:AlternateContent>
    <mc:AlternateContent xmlns:mc="http://schemas.openxmlformats.org/markup-compatibility/2006">
      <mc:Choice Requires="x14">
        <control shapeId="2050" r:id="rId6" name="Control 2">
          <controlPr defaultSize="0" r:id="rId7">
            <anchor moveWithCells="1">
              <from>
                <xdr:col>2</xdr:col>
                <xdr:colOff>2390775</xdr:colOff>
                <xdr:row>0</xdr:row>
                <xdr:rowOff>0</xdr:rowOff>
              </from>
              <to>
                <xdr:col>3</xdr:col>
                <xdr:colOff>733425</xdr:colOff>
                <xdr:row>1</xdr:row>
                <xdr:rowOff>47625</xdr:rowOff>
              </to>
            </anchor>
          </controlPr>
        </control>
      </mc:Choice>
      <mc:Fallback>
        <control shapeId="2050" r:id="rId6" name="Control 2"/>
      </mc:Fallback>
    </mc:AlternateContent>
    <mc:AlternateContent xmlns:mc="http://schemas.openxmlformats.org/markup-compatibility/2006">
      <mc:Choice Requires="x14">
        <control shapeId="2049" r:id="rId8" name="Control 1">
          <controlPr defaultSize="0" r:id="rId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1</xdr:col>
                <xdr:colOff>209550</xdr:colOff>
                <xdr:row>1</xdr:row>
                <xdr:rowOff>47625</xdr:rowOff>
              </to>
            </anchor>
          </controlPr>
        </control>
      </mc:Choice>
      <mc:Fallback>
        <control shapeId="2049" r:id="rId8" name="Control 1"/>
      </mc:Fallback>
    </mc:AlternateContent>
  </controls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3E78E-C99B-4922-9B92-F659E4C28149}">
  <sheetPr codeName="Sheet14">
    <tabColor rgb="FFFFC000"/>
  </sheetPr>
  <dimension ref="A2:L33"/>
  <sheetViews>
    <sheetView showGridLines="0" topLeftCell="A4" zoomScaleNormal="10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5.5703125" style="49" bestFit="1" customWidth="1"/>
    <col min="3" max="6" width="12" style="49" customWidth="1"/>
    <col min="7" max="11" width="9.140625" style="49"/>
    <col min="12" max="12" width="14.42578125" style="49" bestFit="1" customWidth="1"/>
    <col min="13" max="16384" width="9.140625" style="49"/>
  </cols>
  <sheetData>
    <row r="2" spans="1:12" x14ac:dyDescent="0.2">
      <c r="B2" s="218"/>
      <c r="C2" s="218"/>
      <c r="D2" s="218"/>
      <c r="E2" s="218"/>
      <c r="F2" s="218"/>
    </row>
    <row r="3" spans="1:12" x14ac:dyDescent="0.2">
      <c r="B3" s="218"/>
      <c r="C3" s="218"/>
      <c r="D3" s="218"/>
      <c r="E3" s="218"/>
      <c r="F3" s="218"/>
    </row>
    <row r="4" spans="1:12" x14ac:dyDescent="0.2">
      <c r="B4" s="218"/>
      <c r="C4" s="218"/>
      <c r="D4" s="218"/>
      <c r="E4" s="218"/>
      <c r="F4" s="218"/>
    </row>
    <row r="5" spans="1:12" x14ac:dyDescent="0.2">
      <c r="B5" s="219"/>
      <c r="C5" s="219"/>
      <c r="D5" s="219"/>
      <c r="E5" s="219"/>
      <c r="F5" s="219"/>
    </row>
    <row r="6" spans="1:12" x14ac:dyDescent="0.2">
      <c r="B6" s="219"/>
      <c r="C6" s="219"/>
      <c r="D6" s="219"/>
      <c r="E6" s="219"/>
      <c r="F6" s="219"/>
    </row>
    <row r="7" spans="1:12" ht="15" thickBot="1" x14ac:dyDescent="0.25">
      <c r="B7" s="220"/>
      <c r="C7" s="220"/>
      <c r="D7" s="220"/>
      <c r="E7" s="220"/>
      <c r="F7" s="220"/>
    </row>
    <row r="8" spans="1:12" x14ac:dyDescent="0.2">
      <c r="A8" s="50"/>
      <c r="B8" s="51"/>
      <c r="C8" s="221" t="s">
        <v>169</v>
      </c>
      <c r="D8" s="221" t="s">
        <v>170</v>
      </c>
      <c r="E8" s="221" t="s">
        <v>171</v>
      </c>
      <c r="F8" s="53" t="s">
        <v>127</v>
      </c>
    </row>
    <row r="9" spans="1:12" ht="15" thickBot="1" x14ac:dyDescent="0.25">
      <c r="A9" s="50"/>
      <c r="B9" s="54" t="s">
        <v>12</v>
      </c>
      <c r="C9" s="222"/>
      <c r="D9" s="222"/>
      <c r="E9" s="222"/>
      <c r="F9" s="56" t="s">
        <v>113</v>
      </c>
    </row>
    <row r="10" spans="1:12" x14ac:dyDescent="0.2">
      <c r="A10" s="50">
        <v>511101</v>
      </c>
      <c r="B10" s="87" t="s">
        <v>114</v>
      </c>
      <c r="C10" s="88">
        <v>8419637.5456000008</v>
      </c>
      <c r="D10" s="88">
        <v>0</v>
      </c>
      <c r="E10" s="88">
        <v>0</v>
      </c>
      <c r="F10" s="90">
        <f t="shared" ref="F10:F30" si="0">SUM(C10:E10)</f>
        <v>8419637.5456000008</v>
      </c>
    </row>
    <row r="11" spans="1:12" x14ac:dyDescent="0.2">
      <c r="A11" s="50">
        <v>511301</v>
      </c>
      <c r="B11" s="68" t="s">
        <v>136</v>
      </c>
      <c r="C11" s="96">
        <v>23270</v>
      </c>
      <c r="D11" s="96">
        <v>0</v>
      </c>
      <c r="E11" s="96">
        <v>0</v>
      </c>
      <c r="F11" s="72">
        <f t="shared" si="0"/>
        <v>23270</v>
      </c>
    </row>
    <row r="12" spans="1:12" x14ac:dyDescent="0.2">
      <c r="A12" s="50">
        <v>512401</v>
      </c>
      <c r="B12" s="68" t="s">
        <v>115</v>
      </c>
      <c r="C12" s="96">
        <v>1117559.919828</v>
      </c>
      <c r="D12" s="96">
        <v>0</v>
      </c>
      <c r="E12" s="96">
        <v>0</v>
      </c>
      <c r="F12" s="72">
        <f t="shared" si="0"/>
        <v>1117559.919828</v>
      </c>
    </row>
    <row r="13" spans="1:12" x14ac:dyDescent="0.2">
      <c r="A13" s="50">
        <v>521101</v>
      </c>
      <c r="B13" s="68" t="s">
        <v>116</v>
      </c>
      <c r="C13" s="96">
        <v>1000</v>
      </c>
      <c r="D13" s="96">
        <v>0</v>
      </c>
      <c r="E13" s="96">
        <v>0</v>
      </c>
      <c r="F13" s="72">
        <f t="shared" si="0"/>
        <v>1000</v>
      </c>
    </row>
    <row r="14" spans="1:12" x14ac:dyDescent="0.2">
      <c r="A14" s="50">
        <v>521201</v>
      </c>
      <c r="B14" s="68" t="s">
        <v>117</v>
      </c>
      <c r="C14" s="96">
        <v>36500</v>
      </c>
      <c r="D14" s="96">
        <v>0</v>
      </c>
      <c r="E14" s="96">
        <v>0</v>
      </c>
      <c r="F14" s="72">
        <f t="shared" si="0"/>
        <v>36500</v>
      </c>
    </row>
    <row r="15" spans="1:12" x14ac:dyDescent="0.2">
      <c r="A15" s="50">
        <v>521207</v>
      </c>
      <c r="B15" s="68" t="s">
        <v>130</v>
      </c>
      <c r="C15" s="96">
        <v>0</v>
      </c>
      <c r="D15" s="96">
        <v>125000</v>
      </c>
      <c r="E15" s="96">
        <v>325000</v>
      </c>
      <c r="F15" s="72">
        <f t="shared" si="0"/>
        <v>450000</v>
      </c>
    </row>
    <row r="16" spans="1:12" x14ac:dyDescent="0.2">
      <c r="A16" s="50">
        <v>521208</v>
      </c>
      <c r="B16" s="68" t="s">
        <v>165</v>
      </c>
      <c r="C16" s="96">
        <v>15540499</v>
      </c>
      <c r="D16" s="96">
        <v>0</v>
      </c>
      <c r="E16" s="96">
        <v>0</v>
      </c>
      <c r="F16" s="72">
        <f t="shared" si="0"/>
        <v>15540499</v>
      </c>
      <c r="L16" s="61"/>
    </row>
    <row r="17" spans="1:12" x14ac:dyDescent="0.2">
      <c r="A17" s="50">
        <v>521212</v>
      </c>
      <c r="B17" s="68" t="s">
        <v>150</v>
      </c>
      <c r="C17" s="96">
        <v>109042</v>
      </c>
      <c r="D17" s="96">
        <v>0</v>
      </c>
      <c r="E17" s="96">
        <v>0</v>
      </c>
      <c r="F17" s="72">
        <f t="shared" si="0"/>
        <v>109042</v>
      </c>
      <c r="L17" s="61"/>
    </row>
    <row r="18" spans="1:12" x14ac:dyDescent="0.2">
      <c r="A18" s="50">
        <v>523101</v>
      </c>
      <c r="B18" s="68" t="s">
        <v>166</v>
      </c>
      <c r="C18" s="96">
        <v>7048478</v>
      </c>
      <c r="D18" s="96">
        <v>0</v>
      </c>
      <c r="E18" s="96">
        <v>0</v>
      </c>
      <c r="F18" s="72">
        <f t="shared" si="0"/>
        <v>7048478</v>
      </c>
      <c r="L18" s="61"/>
    </row>
    <row r="19" spans="1:12" x14ac:dyDescent="0.2">
      <c r="A19" s="50">
        <v>523304</v>
      </c>
      <c r="B19" s="68" t="s">
        <v>118</v>
      </c>
      <c r="C19" s="96">
        <v>5080</v>
      </c>
      <c r="D19" s="96">
        <v>0</v>
      </c>
      <c r="E19" s="96">
        <v>0</v>
      </c>
      <c r="F19" s="72">
        <f t="shared" si="0"/>
        <v>5080</v>
      </c>
      <c r="L19" s="61"/>
    </row>
    <row r="20" spans="1:12" x14ac:dyDescent="0.2">
      <c r="A20" s="50">
        <v>523501</v>
      </c>
      <c r="B20" s="68" t="s">
        <v>119</v>
      </c>
      <c r="C20" s="96">
        <v>17726</v>
      </c>
      <c r="D20" s="96">
        <v>0</v>
      </c>
      <c r="E20" s="96">
        <v>0</v>
      </c>
      <c r="F20" s="72">
        <f t="shared" si="0"/>
        <v>17726</v>
      </c>
      <c r="L20" s="61"/>
    </row>
    <row r="21" spans="1:12" x14ac:dyDescent="0.2">
      <c r="A21" s="50">
        <v>523601</v>
      </c>
      <c r="B21" s="68" t="s">
        <v>120</v>
      </c>
      <c r="C21" s="96">
        <v>5735</v>
      </c>
      <c r="D21" s="96">
        <v>0</v>
      </c>
      <c r="E21" s="96">
        <v>0</v>
      </c>
      <c r="F21" s="72">
        <f t="shared" si="0"/>
        <v>5735</v>
      </c>
      <c r="L21" s="61"/>
    </row>
    <row r="22" spans="1:12" x14ac:dyDescent="0.2">
      <c r="A22" s="50">
        <v>523701</v>
      </c>
      <c r="B22" s="68" t="s">
        <v>121</v>
      </c>
      <c r="C22" s="96">
        <v>33412.520000000004</v>
      </c>
      <c r="D22" s="96">
        <v>0</v>
      </c>
      <c r="E22" s="96">
        <v>0</v>
      </c>
      <c r="F22" s="72">
        <f t="shared" si="0"/>
        <v>33412.520000000004</v>
      </c>
    </row>
    <row r="23" spans="1:12" x14ac:dyDescent="0.2">
      <c r="A23" s="50">
        <v>523902</v>
      </c>
      <c r="B23" s="68" t="s">
        <v>167</v>
      </c>
      <c r="C23" s="96">
        <v>9800</v>
      </c>
      <c r="D23" s="96">
        <v>0</v>
      </c>
      <c r="E23" s="96">
        <v>0</v>
      </c>
      <c r="F23" s="72">
        <f t="shared" si="0"/>
        <v>9800</v>
      </c>
    </row>
    <row r="24" spans="1:12" x14ac:dyDescent="0.2">
      <c r="A24" s="50">
        <v>531101</v>
      </c>
      <c r="B24" s="68" t="s">
        <v>122</v>
      </c>
      <c r="C24" s="96">
        <v>9854</v>
      </c>
      <c r="D24" s="96">
        <v>0</v>
      </c>
      <c r="E24" s="96">
        <v>0</v>
      </c>
      <c r="F24" s="72">
        <f t="shared" si="0"/>
        <v>9854</v>
      </c>
    </row>
    <row r="25" spans="1:12" x14ac:dyDescent="0.2">
      <c r="A25" s="50">
        <v>531102</v>
      </c>
      <c r="B25" s="68" t="s">
        <v>152</v>
      </c>
      <c r="C25" s="96">
        <v>138214.47999999998</v>
      </c>
      <c r="D25" s="96">
        <v>0</v>
      </c>
      <c r="E25" s="96">
        <v>0</v>
      </c>
      <c r="F25" s="72">
        <f t="shared" si="0"/>
        <v>138214.47999999998</v>
      </c>
    </row>
    <row r="26" spans="1:12" x14ac:dyDescent="0.2">
      <c r="A26" s="50">
        <v>531105</v>
      </c>
      <c r="B26" s="68" t="s">
        <v>123</v>
      </c>
      <c r="C26" s="96">
        <v>106</v>
      </c>
      <c r="D26" s="96">
        <v>0</v>
      </c>
      <c r="E26" s="96">
        <v>0</v>
      </c>
      <c r="F26" s="72">
        <f t="shared" si="0"/>
        <v>106</v>
      </c>
    </row>
    <row r="27" spans="1:12" x14ac:dyDescent="0.2">
      <c r="A27" s="50">
        <v>531601</v>
      </c>
      <c r="B27" s="68" t="s">
        <v>160</v>
      </c>
      <c r="C27" s="96">
        <v>0</v>
      </c>
      <c r="D27" s="96">
        <v>130000</v>
      </c>
      <c r="E27" s="96">
        <v>0</v>
      </c>
      <c r="F27" s="72">
        <f t="shared" si="0"/>
        <v>130000</v>
      </c>
    </row>
    <row r="28" spans="1:12" x14ac:dyDescent="0.2">
      <c r="A28" s="50">
        <v>531701</v>
      </c>
      <c r="B28" s="68" t="s">
        <v>148</v>
      </c>
      <c r="C28" s="96">
        <v>106463</v>
      </c>
      <c r="D28" s="96">
        <v>0</v>
      </c>
      <c r="E28" s="96">
        <v>0</v>
      </c>
      <c r="F28" s="72">
        <f t="shared" si="0"/>
        <v>106463</v>
      </c>
    </row>
    <row r="29" spans="1:12" x14ac:dyDescent="0.2">
      <c r="A29" s="50">
        <v>541401</v>
      </c>
      <c r="B29" s="58" t="s">
        <v>181</v>
      </c>
      <c r="C29" s="96">
        <v>0</v>
      </c>
      <c r="D29" s="96">
        <v>0</v>
      </c>
      <c r="E29" s="96">
        <v>16920000</v>
      </c>
      <c r="F29" s="72">
        <f t="shared" si="0"/>
        <v>16920000</v>
      </c>
    </row>
    <row r="30" spans="1:12" ht="15" thickBot="1" x14ac:dyDescent="0.25">
      <c r="A30" s="50">
        <v>541403</v>
      </c>
      <c r="B30" s="68" t="s">
        <v>182</v>
      </c>
      <c r="C30" s="96">
        <v>0</v>
      </c>
      <c r="D30" s="96">
        <v>0</v>
      </c>
      <c r="E30" s="96">
        <v>0</v>
      </c>
      <c r="F30" s="72">
        <f t="shared" si="0"/>
        <v>0</v>
      </c>
    </row>
    <row r="31" spans="1:12" ht="15" thickBot="1" x14ac:dyDescent="0.25">
      <c r="A31" s="50"/>
      <c r="B31" s="76" t="s">
        <v>173</v>
      </c>
      <c r="C31" s="77">
        <f>SUM(C10:C30)</f>
        <v>32622377.465428002</v>
      </c>
      <c r="D31" s="77">
        <f>SUM(D10:D30)</f>
        <v>255000</v>
      </c>
      <c r="E31" s="77">
        <f>SUM(E10:E30)</f>
        <v>17245000</v>
      </c>
      <c r="F31" s="78">
        <f>SUM(F10:F30)</f>
        <v>50122377.465428002</v>
      </c>
    </row>
    <row r="32" spans="1:12" ht="15" thickBot="1" x14ac:dyDescent="0.25">
      <c r="A32" s="50"/>
      <c r="B32" s="91" t="s">
        <v>174</v>
      </c>
      <c r="C32" s="80">
        <v>28079005.034844998</v>
      </c>
      <c r="D32" s="80">
        <v>250000</v>
      </c>
      <c r="E32" s="80">
        <v>7435000</v>
      </c>
      <c r="F32" s="81">
        <f>SUM(C32:E32)</f>
        <v>35764005.034844995</v>
      </c>
    </row>
    <row r="33" spans="1:6" ht="15.75" thickTop="1" thickBot="1" x14ac:dyDescent="0.25">
      <c r="A33" s="50"/>
      <c r="B33" s="82" t="s">
        <v>175</v>
      </c>
      <c r="C33" s="83">
        <f>C31-C32</f>
        <v>4543372.4305830039</v>
      </c>
      <c r="D33" s="83">
        <f t="shared" ref="D33:F33" si="1">D31-D32</f>
        <v>5000</v>
      </c>
      <c r="E33" s="83">
        <f t="shared" si="1"/>
        <v>9810000</v>
      </c>
      <c r="F33" s="84">
        <f t="shared" si="1"/>
        <v>14358372.430583008</v>
      </c>
    </row>
  </sheetData>
  <mergeCells count="7">
    <mergeCell ref="B2:F4"/>
    <mergeCell ref="B5:F5"/>
    <mergeCell ref="B6:F6"/>
    <mergeCell ref="B7:F7"/>
    <mergeCell ref="C8:C9"/>
    <mergeCell ref="D8:D9"/>
    <mergeCell ref="E8:E9"/>
  </mergeCells>
  <conditionalFormatting sqref="C10 C31:C32 C33:F33">
    <cfRule type="cellIs" dxfId="0" priority="1" operator="less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4819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2171700</xdr:colOff>
                <xdr:row>1</xdr:row>
                <xdr:rowOff>47625</xdr:rowOff>
              </to>
            </anchor>
          </controlPr>
        </control>
      </mc:Choice>
      <mc:Fallback>
        <control shapeId="34819" r:id="rId4" name="Control 3"/>
      </mc:Fallback>
    </mc:AlternateContent>
    <mc:AlternateContent xmlns:mc="http://schemas.openxmlformats.org/markup-compatibility/2006">
      <mc:Choice Requires="x14">
        <control shapeId="34818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1543050</xdr:colOff>
                <xdr:row>1</xdr:row>
                <xdr:rowOff>47625</xdr:rowOff>
              </to>
            </anchor>
          </controlPr>
        </control>
      </mc:Choice>
      <mc:Fallback>
        <control shapeId="34818" r:id="rId6" name="Control 2"/>
      </mc:Fallback>
    </mc:AlternateContent>
    <mc:AlternateContent xmlns:mc="http://schemas.openxmlformats.org/markup-compatibility/2006">
      <mc:Choice Requires="x14">
        <control shapeId="34817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923925</xdr:colOff>
                <xdr:row>1</xdr:row>
                <xdr:rowOff>47625</xdr:rowOff>
              </to>
            </anchor>
          </controlPr>
        </control>
      </mc:Choice>
      <mc:Fallback>
        <control shapeId="34817" r:id="rId8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FD487-CF10-4818-859B-727C1FEC0082}">
  <dimension ref="A1:Y75"/>
  <sheetViews>
    <sheetView showGridLines="0" topLeftCell="A62" workbookViewId="0">
      <pane xSplit="2" topLeftCell="N1" activePane="topRight" state="frozen"/>
      <selection activeCell="Q7" sqref="Q7"/>
      <selection pane="topRight" activeCell="Q7" sqref="Q7"/>
    </sheetView>
  </sheetViews>
  <sheetFormatPr defaultColWidth="9.140625" defaultRowHeight="15" x14ac:dyDescent="0.25"/>
  <cols>
    <col min="1" max="1" width="9.140625" style="114"/>
    <col min="2" max="2" width="37.7109375" style="114" customWidth="1"/>
    <col min="3" max="5" width="13.7109375" style="114" customWidth="1"/>
    <col min="6" max="6" width="7.42578125" style="114" bestFit="1" customWidth="1"/>
    <col min="7" max="23" width="13.7109375" style="114" customWidth="1"/>
    <col min="24" max="24" width="28.85546875" style="114" bestFit="1" customWidth="1"/>
    <col min="25" max="16384" width="9.140625" style="114"/>
  </cols>
  <sheetData>
    <row r="1" spans="1:25" ht="38.25" x14ac:dyDescent="0.25">
      <c r="B1" s="122" t="s">
        <v>204</v>
      </c>
    </row>
    <row r="2" spans="1:25" ht="34.5" x14ac:dyDescent="0.25">
      <c r="B2" s="194" t="s">
        <v>12</v>
      </c>
      <c r="C2" s="206" t="s">
        <v>15</v>
      </c>
      <c r="D2" s="206" t="s">
        <v>1</v>
      </c>
      <c r="E2" s="206" t="s">
        <v>2</v>
      </c>
      <c r="F2" s="206" t="s">
        <v>196</v>
      </c>
      <c r="G2" s="206" t="s">
        <v>16</v>
      </c>
      <c r="H2" s="206" t="s">
        <v>3</v>
      </c>
      <c r="I2" s="206" t="s">
        <v>8</v>
      </c>
      <c r="J2" s="206" t="s">
        <v>4</v>
      </c>
      <c r="K2" s="206" t="s">
        <v>5</v>
      </c>
      <c r="L2" s="206" t="s">
        <v>9</v>
      </c>
      <c r="M2" s="206" t="s">
        <v>10</v>
      </c>
      <c r="N2" s="206" t="s">
        <v>198</v>
      </c>
      <c r="O2" s="207" t="s">
        <v>14</v>
      </c>
      <c r="P2" s="206" t="s">
        <v>11</v>
      </c>
      <c r="Q2" s="206" t="s">
        <v>6</v>
      </c>
      <c r="R2" s="206" t="s">
        <v>7</v>
      </c>
      <c r="S2" s="206" t="s">
        <v>75</v>
      </c>
      <c r="T2" s="206" t="s">
        <v>80</v>
      </c>
      <c r="U2" s="195" t="s">
        <v>219</v>
      </c>
      <c r="V2" s="195" t="s">
        <v>199</v>
      </c>
      <c r="W2" s="195" t="s">
        <v>20</v>
      </c>
      <c r="X2" s="195" t="s">
        <v>21</v>
      </c>
      <c r="Y2" s="114" t="s">
        <v>21</v>
      </c>
    </row>
    <row r="3" spans="1:25" x14ac:dyDescent="0.25">
      <c r="A3" s="114">
        <v>173003</v>
      </c>
      <c r="B3" s="196" t="s">
        <v>205</v>
      </c>
      <c r="C3" s="198">
        <v>0</v>
      </c>
      <c r="D3" s="198">
        <v>0</v>
      </c>
      <c r="E3" s="198">
        <v>0</v>
      </c>
      <c r="F3" s="198">
        <v>0</v>
      </c>
      <c r="G3" s="198">
        <v>0</v>
      </c>
      <c r="H3" s="198">
        <v>0</v>
      </c>
      <c r="I3" s="198">
        <v>0</v>
      </c>
      <c r="J3" s="198">
        <v>0</v>
      </c>
      <c r="K3" s="198">
        <v>0</v>
      </c>
      <c r="L3" s="198">
        <v>0</v>
      </c>
      <c r="M3" s="198">
        <v>0</v>
      </c>
      <c r="N3" s="198">
        <v>0</v>
      </c>
      <c r="O3" s="198">
        <v>0</v>
      </c>
      <c r="P3" s="198">
        <v>0</v>
      </c>
      <c r="Q3" s="198">
        <v>0</v>
      </c>
      <c r="R3" s="198">
        <v>0</v>
      </c>
      <c r="S3" s="198">
        <v>0</v>
      </c>
      <c r="T3" s="198">
        <v>0</v>
      </c>
      <c r="U3" s="199">
        <v>30000</v>
      </c>
      <c r="V3" s="199">
        <v>-30000</v>
      </c>
      <c r="W3" s="200">
        <v>-1</v>
      </c>
      <c r="X3" s="201">
        <v>-1</v>
      </c>
    </row>
    <row r="4" spans="1:25" x14ac:dyDescent="0.25">
      <c r="A4" s="114">
        <v>511101</v>
      </c>
      <c r="B4" s="196" t="s">
        <v>114</v>
      </c>
      <c r="C4" s="198">
        <v>1795440.2704</v>
      </c>
      <c r="D4" s="198">
        <v>617122.28960000002</v>
      </c>
      <c r="E4" s="198">
        <v>0</v>
      </c>
      <c r="F4" s="198">
        <v>568149.00959999999</v>
      </c>
      <c r="G4" s="198">
        <v>15364463.4472</v>
      </c>
      <c r="H4" s="198">
        <v>1925400.0532</v>
      </c>
      <c r="I4" s="198">
        <v>13446913.5144</v>
      </c>
      <c r="J4" s="198">
        <v>1087690.3584</v>
      </c>
      <c r="K4" s="198">
        <v>1262887.6632000001</v>
      </c>
      <c r="L4" s="198">
        <v>14075857.634400001</v>
      </c>
      <c r="M4" s="198">
        <v>3486651.7519999999</v>
      </c>
      <c r="N4" s="198">
        <v>1130854.456</v>
      </c>
      <c r="O4" s="198">
        <v>3468786.8568000002</v>
      </c>
      <c r="P4" s="198">
        <v>1955271.868</v>
      </c>
      <c r="Q4" s="198">
        <v>-3322058</v>
      </c>
      <c r="R4" s="198">
        <v>10390316.954399999</v>
      </c>
      <c r="S4" s="198">
        <v>1217730</v>
      </c>
      <c r="T4" s="198">
        <v>68471478.127599999</v>
      </c>
      <c r="U4" s="199">
        <v>61740283.577200003</v>
      </c>
      <c r="V4" s="199">
        <v>6731194.5504000001</v>
      </c>
      <c r="W4" s="199">
        <v>0.1090243542853722</v>
      </c>
      <c r="X4" s="202">
        <v>0.20675738805828986</v>
      </c>
    </row>
    <row r="5" spans="1:25" x14ac:dyDescent="0.25">
      <c r="A5" s="114">
        <v>511202</v>
      </c>
      <c r="B5" s="196" t="s">
        <v>135</v>
      </c>
      <c r="C5" s="198">
        <v>0</v>
      </c>
      <c r="D5" s="198">
        <v>0</v>
      </c>
      <c r="E5" s="198">
        <v>0</v>
      </c>
      <c r="F5" s="198">
        <v>0</v>
      </c>
      <c r="G5" s="198">
        <v>0</v>
      </c>
      <c r="H5" s="198">
        <v>89528.71</v>
      </c>
      <c r="I5" s="198">
        <v>0</v>
      </c>
      <c r="J5" s="198">
        <v>0</v>
      </c>
      <c r="K5" s="198">
        <v>158448</v>
      </c>
      <c r="L5" s="198">
        <v>0</v>
      </c>
      <c r="M5" s="198">
        <v>0</v>
      </c>
      <c r="N5" s="198">
        <v>0</v>
      </c>
      <c r="O5" s="198">
        <v>0</v>
      </c>
      <c r="P5" s="198">
        <v>0</v>
      </c>
      <c r="Q5" s="198">
        <v>0</v>
      </c>
      <c r="R5" s="198">
        <v>0</v>
      </c>
      <c r="S5" s="198">
        <v>0</v>
      </c>
      <c r="T5" s="198">
        <v>247976.71</v>
      </c>
      <c r="U5" s="199">
        <v>248448</v>
      </c>
      <c r="V5" s="199">
        <v>-471.29</v>
      </c>
      <c r="W5" s="200">
        <v>-1.8969361798042246E-3</v>
      </c>
      <c r="X5" s="201">
        <v>-1.8969361798042246E-3</v>
      </c>
    </row>
    <row r="6" spans="1:25" x14ac:dyDescent="0.25">
      <c r="A6" s="114">
        <v>511301</v>
      </c>
      <c r="B6" s="196" t="s">
        <v>136</v>
      </c>
      <c r="C6" s="198">
        <v>0</v>
      </c>
      <c r="D6" s="198">
        <v>0</v>
      </c>
      <c r="E6" s="198">
        <v>0</v>
      </c>
      <c r="F6" s="198">
        <v>0</v>
      </c>
      <c r="G6" s="198">
        <v>275466.19</v>
      </c>
      <c r="H6" s="198">
        <v>2000</v>
      </c>
      <c r="I6" s="198">
        <v>88215</v>
      </c>
      <c r="J6" s="198">
        <v>0</v>
      </c>
      <c r="K6" s="198">
        <v>0</v>
      </c>
      <c r="L6" s="198">
        <v>627047</v>
      </c>
      <c r="M6" s="198">
        <v>0</v>
      </c>
      <c r="N6" s="198">
        <v>0</v>
      </c>
      <c r="O6" s="198">
        <v>0</v>
      </c>
      <c r="P6" s="198">
        <v>45000</v>
      </c>
      <c r="Q6" s="198">
        <v>0</v>
      </c>
      <c r="R6" s="198">
        <v>270554</v>
      </c>
      <c r="S6" s="198">
        <v>0</v>
      </c>
      <c r="T6" s="198">
        <v>1308282.19</v>
      </c>
      <c r="U6" s="199">
        <v>950257.03</v>
      </c>
      <c r="V6" s="199">
        <v>358025.16</v>
      </c>
      <c r="W6" s="199">
        <v>0.37676665228143591</v>
      </c>
      <c r="X6" s="202">
        <v>7.7389587951798679E-3</v>
      </c>
    </row>
    <row r="7" spans="1:25" x14ac:dyDescent="0.25">
      <c r="A7" s="114">
        <v>512101</v>
      </c>
      <c r="B7" s="196" t="s">
        <v>132</v>
      </c>
      <c r="C7" s="198">
        <v>0</v>
      </c>
      <c r="D7" s="198">
        <v>0</v>
      </c>
      <c r="E7" s="198">
        <v>0</v>
      </c>
      <c r="F7" s="198">
        <v>0</v>
      </c>
      <c r="G7" s="198">
        <v>0</v>
      </c>
      <c r="H7" s="198">
        <v>0</v>
      </c>
      <c r="I7" s="198">
        <v>0</v>
      </c>
      <c r="J7" s="198">
        <v>0</v>
      </c>
      <c r="K7" s="198">
        <v>0</v>
      </c>
      <c r="L7" s="198">
        <v>0</v>
      </c>
      <c r="M7" s="198">
        <v>0</v>
      </c>
      <c r="N7" s="198">
        <v>0</v>
      </c>
      <c r="O7" s="198">
        <v>0</v>
      </c>
      <c r="P7" s="198">
        <v>0</v>
      </c>
      <c r="Q7" s="198">
        <v>8881190</v>
      </c>
      <c r="R7" s="198">
        <v>0</v>
      </c>
      <c r="S7" s="198">
        <v>0</v>
      </c>
      <c r="T7" s="198">
        <v>8881190</v>
      </c>
      <c r="U7" s="199">
        <v>7618674.6500000004</v>
      </c>
      <c r="V7" s="199">
        <v>1262515.3500000001</v>
      </c>
      <c r="W7" s="199">
        <v>0.16571325171366913</v>
      </c>
      <c r="X7" s="202">
        <v>0.16571325171366913</v>
      </c>
    </row>
    <row r="8" spans="1:25" x14ac:dyDescent="0.25">
      <c r="A8" s="114">
        <v>512401</v>
      </c>
      <c r="B8" s="196" t="s">
        <v>115</v>
      </c>
      <c r="C8" s="198">
        <v>233407.11749599999</v>
      </c>
      <c r="D8" s="198">
        <v>71414.886123000004</v>
      </c>
      <c r="E8" s="198">
        <v>0</v>
      </c>
      <c r="F8" s="198">
        <v>80392.834858000002</v>
      </c>
      <c r="G8" s="198">
        <v>2174134.244281</v>
      </c>
      <c r="H8" s="198">
        <v>272510.816032</v>
      </c>
      <c r="I8" s="198">
        <v>1720343.4832890001</v>
      </c>
      <c r="J8" s="198">
        <v>153900.08101299999</v>
      </c>
      <c r="K8" s="198">
        <v>178699.011248</v>
      </c>
      <c r="L8" s="198">
        <v>1993874.6745199999</v>
      </c>
      <c r="M8" s="198">
        <v>480474.60035199998</v>
      </c>
      <c r="N8" s="198">
        <v>160038.930525</v>
      </c>
      <c r="O8" s="198">
        <v>490833.20611600002</v>
      </c>
      <c r="P8" s="198">
        <v>276608.971823</v>
      </c>
      <c r="Q8" s="198">
        <v>-750000</v>
      </c>
      <c r="R8" s="198">
        <v>1470353.094452</v>
      </c>
      <c r="S8" s="198">
        <v>172308.52</v>
      </c>
      <c r="T8" s="198">
        <v>9179294.4721280001</v>
      </c>
      <c r="U8" s="199">
        <v>8851601.2560370006</v>
      </c>
      <c r="V8" s="199">
        <v>327693.21609100001</v>
      </c>
      <c r="W8" s="199">
        <v>3.7020783766949006E-2</v>
      </c>
      <c r="X8" s="202">
        <v>9.6636431778555978E-3</v>
      </c>
    </row>
    <row r="9" spans="1:25" x14ac:dyDescent="0.25">
      <c r="A9" s="114">
        <v>512402</v>
      </c>
      <c r="B9" s="196" t="s">
        <v>142</v>
      </c>
      <c r="C9" s="198">
        <v>0</v>
      </c>
      <c r="D9" s="198">
        <v>0</v>
      </c>
      <c r="E9" s="198">
        <v>0</v>
      </c>
      <c r="F9" s="198">
        <v>0</v>
      </c>
      <c r="G9" s="198">
        <v>0</v>
      </c>
      <c r="H9" s="198">
        <v>8305</v>
      </c>
      <c r="I9" s="198">
        <v>0</v>
      </c>
      <c r="J9" s="198">
        <v>0</v>
      </c>
      <c r="K9" s="198">
        <v>2298</v>
      </c>
      <c r="L9" s="198">
        <v>0</v>
      </c>
      <c r="M9" s="198">
        <v>0</v>
      </c>
      <c r="N9" s="198">
        <v>0</v>
      </c>
      <c r="O9" s="198">
        <v>0</v>
      </c>
      <c r="P9" s="198">
        <v>0</v>
      </c>
      <c r="Q9" s="198">
        <v>0</v>
      </c>
      <c r="R9" s="198">
        <v>0</v>
      </c>
      <c r="S9" s="198">
        <v>0</v>
      </c>
      <c r="T9" s="198">
        <v>10603</v>
      </c>
      <c r="U9" s="199">
        <v>3603</v>
      </c>
      <c r="V9" s="199">
        <v>7000</v>
      </c>
      <c r="W9" s="199">
        <v>1.9428254232583957</v>
      </c>
      <c r="X9" s="203" t="s">
        <v>206</v>
      </c>
    </row>
    <row r="10" spans="1:25" x14ac:dyDescent="0.25">
      <c r="A10" s="114">
        <v>512501</v>
      </c>
      <c r="B10" s="196" t="s">
        <v>138</v>
      </c>
      <c r="C10" s="198">
        <v>0</v>
      </c>
      <c r="D10" s="198">
        <v>0</v>
      </c>
      <c r="E10" s="198">
        <v>0</v>
      </c>
      <c r="F10" s="198">
        <v>0</v>
      </c>
      <c r="G10" s="198">
        <v>0</v>
      </c>
      <c r="H10" s="198">
        <v>13100</v>
      </c>
      <c r="I10" s="198">
        <v>0</v>
      </c>
      <c r="J10" s="198">
        <v>0</v>
      </c>
      <c r="K10" s="198">
        <v>0</v>
      </c>
      <c r="L10" s="198">
        <v>0</v>
      </c>
      <c r="M10" s="198">
        <v>0</v>
      </c>
      <c r="N10" s="198">
        <v>0</v>
      </c>
      <c r="O10" s="198">
        <v>0</v>
      </c>
      <c r="P10" s="198">
        <v>0</v>
      </c>
      <c r="Q10" s="198">
        <v>0</v>
      </c>
      <c r="R10" s="198">
        <v>0</v>
      </c>
      <c r="S10" s="198">
        <v>0</v>
      </c>
      <c r="T10" s="198">
        <v>13100</v>
      </c>
      <c r="U10" s="199">
        <v>33100</v>
      </c>
      <c r="V10" s="199">
        <v>-20000</v>
      </c>
      <c r="W10" s="199">
        <v>-0.60422960725075525</v>
      </c>
      <c r="X10" s="203" t="s">
        <v>206</v>
      </c>
    </row>
    <row r="11" spans="1:25" x14ac:dyDescent="0.25">
      <c r="A11" s="114">
        <v>512601</v>
      </c>
      <c r="B11" s="196" t="s">
        <v>133</v>
      </c>
      <c r="C11" s="198">
        <v>0</v>
      </c>
      <c r="D11" s="198">
        <v>0</v>
      </c>
      <c r="E11" s="198">
        <v>0</v>
      </c>
      <c r="F11" s="198">
        <v>0</v>
      </c>
      <c r="G11" s="198">
        <v>0</v>
      </c>
      <c r="H11" s="198">
        <v>0</v>
      </c>
      <c r="I11" s="198">
        <v>0</v>
      </c>
      <c r="J11" s="198">
        <v>0</v>
      </c>
      <c r="K11" s="198">
        <v>0</v>
      </c>
      <c r="L11" s="198">
        <v>0</v>
      </c>
      <c r="M11" s="198">
        <v>0</v>
      </c>
      <c r="N11" s="198">
        <v>0</v>
      </c>
      <c r="O11" s="198">
        <v>0</v>
      </c>
      <c r="P11" s="198">
        <v>0</v>
      </c>
      <c r="Q11" s="198">
        <v>100000</v>
      </c>
      <c r="R11" s="198">
        <v>0</v>
      </c>
      <c r="S11" s="198">
        <v>0</v>
      </c>
      <c r="T11" s="198">
        <v>100000</v>
      </c>
      <c r="U11" s="199">
        <v>100000</v>
      </c>
      <c r="V11" s="199">
        <v>0</v>
      </c>
      <c r="W11" s="199" t="s">
        <v>206</v>
      </c>
      <c r="X11" s="203" t="s">
        <v>206</v>
      </c>
    </row>
    <row r="12" spans="1:25" x14ac:dyDescent="0.25">
      <c r="A12" s="114">
        <v>521101</v>
      </c>
      <c r="B12" s="196" t="s">
        <v>116</v>
      </c>
      <c r="C12" s="198">
        <v>6100</v>
      </c>
      <c r="D12" s="198">
        <v>15000</v>
      </c>
      <c r="E12" s="198">
        <v>83918</v>
      </c>
      <c r="F12" s="198">
        <v>10500</v>
      </c>
      <c r="G12" s="198">
        <v>34952</v>
      </c>
      <c r="H12" s="198">
        <v>20000</v>
      </c>
      <c r="I12" s="198">
        <v>2000</v>
      </c>
      <c r="J12" s="198">
        <v>2000</v>
      </c>
      <c r="K12" s="198">
        <v>3500</v>
      </c>
      <c r="L12" s="198">
        <v>10100</v>
      </c>
      <c r="M12" s="198">
        <v>8000</v>
      </c>
      <c r="N12" s="198">
        <v>500</v>
      </c>
      <c r="O12" s="198">
        <v>500</v>
      </c>
      <c r="P12" s="198">
        <v>10500</v>
      </c>
      <c r="Q12" s="198">
        <v>0</v>
      </c>
      <c r="R12" s="198">
        <v>1000</v>
      </c>
      <c r="S12" s="198">
        <v>500</v>
      </c>
      <c r="T12" s="198">
        <v>209070</v>
      </c>
      <c r="U12" s="199">
        <v>180464</v>
      </c>
      <c r="V12" s="199">
        <v>28606</v>
      </c>
      <c r="W12" s="200">
        <v>0.15851360936253214</v>
      </c>
      <c r="X12" s="201">
        <v>-1.1603422289210037E-2</v>
      </c>
    </row>
    <row r="13" spans="1:25" x14ac:dyDescent="0.25">
      <c r="A13" s="114">
        <v>521201</v>
      </c>
      <c r="B13" s="196" t="s">
        <v>117</v>
      </c>
      <c r="C13" s="198">
        <v>0</v>
      </c>
      <c r="D13" s="198">
        <v>35000</v>
      </c>
      <c r="E13" s="198">
        <v>0</v>
      </c>
      <c r="F13" s="198">
        <v>50000</v>
      </c>
      <c r="G13" s="198">
        <v>15390000</v>
      </c>
      <c r="H13" s="198">
        <v>353000</v>
      </c>
      <c r="I13" s="198">
        <v>0</v>
      </c>
      <c r="J13" s="198">
        <v>130000</v>
      </c>
      <c r="K13" s="198">
        <v>0</v>
      </c>
      <c r="L13" s="198">
        <v>700000</v>
      </c>
      <c r="M13" s="198">
        <v>50000</v>
      </c>
      <c r="N13" s="198">
        <v>0</v>
      </c>
      <c r="O13" s="198">
        <v>0</v>
      </c>
      <c r="P13" s="198">
        <v>2507664</v>
      </c>
      <c r="Q13" s="198">
        <v>42000</v>
      </c>
      <c r="R13" s="198">
        <v>43342</v>
      </c>
      <c r="S13" s="198">
        <v>692900</v>
      </c>
      <c r="T13" s="198">
        <v>19993906</v>
      </c>
      <c r="U13" s="199">
        <v>19006006.32</v>
      </c>
      <c r="V13" s="199">
        <v>987899.68</v>
      </c>
      <c r="W13" s="199">
        <v>5.1978288514006973E-2</v>
      </c>
      <c r="X13" s="202">
        <v>0.14066141171313679</v>
      </c>
    </row>
    <row r="14" spans="1:25" x14ac:dyDescent="0.25">
      <c r="A14" s="114">
        <v>521202</v>
      </c>
      <c r="B14" s="196" t="s">
        <v>143</v>
      </c>
      <c r="C14" s="198">
        <v>0</v>
      </c>
      <c r="D14" s="198">
        <v>0</v>
      </c>
      <c r="E14" s="198">
        <v>0</v>
      </c>
      <c r="F14" s="198">
        <v>0</v>
      </c>
      <c r="G14" s="198">
        <v>0</v>
      </c>
      <c r="H14" s="198">
        <v>0</v>
      </c>
      <c r="I14" s="198">
        <v>0</v>
      </c>
      <c r="J14" s="198">
        <v>0</v>
      </c>
      <c r="K14" s="198">
        <v>3690000</v>
      </c>
      <c r="L14" s="198">
        <v>0</v>
      </c>
      <c r="M14" s="198">
        <v>0</v>
      </c>
      <c r="N14" s="198">
        <v>0</v>
      </c>
      <c r="O14" s="198">
        <v>0</v>
      </c>
      <c r="P14" s="198">
        <v>0</v>
      </c>
      <c r="Q14" s="198">
        <v>0</v>
      </c>
      <c r="R14" s="198">
        <v>0</v>
      </c>
      <c r="S14" s="198">
        <v>0</v>
      </c>
      <c r="T14" s="198">
        <v>3690000</v>
      </c>
      <c r="U14" s="199">
        <v>2640000</v>
      </c>
      <c r="V14" s="199">
        <v>1050000</v>
      </c>
      <c r="W14" s="199">
        <v>0.39772727272727271</v>
      </c>
      <c r="X14" s="203" t="s">
        <v>206</v>
      </c>
    </row>
    <row r="15" spans="1:25" x14ac:dyDescent="0.25">
      <c r="A15" s="114">
        <v>521203</v>
      </c>
      <c r="B15" s="196" t="s">
        <v>124</v>
      </c>
      <c r="C15" s="198">
        <v>200000</v>
      </c>
      <c r="D15" s="198">
        <v>0</v>
      </c>
      <c r="E15" s="198">
        <v>0</v>
      </c>
      <c r="F15" s="198">
        <v>0</v>
      </c>
      <c r="G15" s="198">
        <v>0</v>
      </c>
      <c r="H15" s="198">
        <v>0</v>
      </c>
      <c r="I15" s="198">
        <v>0</v>
      </c>
      <c r="J15" s="198">
        <v>0</v>
      </c>
      <c r="K15" s="198">
        <v>0</v>
      </c>
      <c r="L15" s="198">
        <v>0</v>
      </c>
      <c r="M15" s="198">
        <v>0</v>
      </c>
      <c r="N15" s="198">
        <v>0</v>
      </c>
      <c r="O15" s="198">
        <v>0</v>
      </c>
      <c r="P15" s="198">
        <v>0</v>
      </c>
      <c r="Q15" s="198">
        <v>0</v>
      </c>
      <c r="R15" s="198">
        <v>0</v>
      </c>
      <c r="S15" s="198">
        <v>0</v>
      </c>
      <c r="T15" s="198">
        <v>200000</v>
      </c>
      <c r="U15" s="199">
        <v>200000</v>
      </c>
      <c r="V15" s="199">
        <v>0</v>
      </c>
      <c r="W15" s="199" t="s">
        <v>206</v>
      </c>
      <c r="X15" s="203" t="s">
        <v>206</v>
      </c>
    </row>
    <row r="16" spans="1:25" x14ac:dyDescent="0.25">
      <c r="A16" s="114">
        <v>521204</v>
      </c>
      <c r="B16" s="196" t="s">
        <v>129</v>
      </c>
      <c r="C16" s="198">
        <v>0</v>
      </c>
      <c r="D16" s="198">
        <v>0</v>
      </c>
      <c r="E16" s="198">
        <v>0</v>
      </c>
      <c r="F16" s="198">
        <v>0</v>
      </c>
      <c r="G16" s="198">
        <v>0</v>
      </c>
      <c r="H16" s="198">
        <v>0</v>
      </c>
      <c r="I16" s="198">
        <v>0</v>
      </c>
      <c r="J16" s="198">
        <v>0</v>
      </c>
      <c r="K16" s="198">
        <v>0</v>
      </c>
      <c r="L16" s="198">
        <v>0</v>
      </c>
      <c r="M16" s="198">
        <v>0</v>
      </c>
      <c r="N16" s="198">
        <v>0</v>
      </c>
      <c r="O16" s="198">
        <v>0</v>
      </c>
      <c r="P16" s="198">
        <v>0</v>
      </c>
      <c r="Q16" s="198">
        <v>0</v>
      </c>
      <c r="R16" s="198">
        <v>0</v>
      </c>
      <c r="S16" s="198">
        <v>75000</v>
      </c>
      <c r="T16" s="198">
        <v>75000</v>
      </c>
      <c r="U16" s="199">
        <v>75000</v>
      </c>
      <c r="V16" s="199">
        <v>0</v>
      </c>
      <c r="W16" s="199" t="s">
        <v>206</v>
      </c>
      <c r="X16" s="203" t="s">
        <v>206</v>
      </c>
    </row>
    <row r="17" spans="1:24" x14ac:dyDescent="0.25">
      <c r="A17" s="114">
        <v>521205</v>
      </c>
      <c r="B17" s="196" t="s">
        <v>176</v>
      </c>
      <c r="C17" s="198">
        <v>0</v>
      </c>
      <c r="D17" s="198">
        <v>0</v>
      </c>
      <c r="E17" s="198">
        <v>0</v>
      </c>
      <c r="F17" s="198">
        <v>0</v>
      </c>
      <c r="G17" s="198">
        <v>0</v>
      </c>
      <c r="H17" s="198">
        <v>0</v>
      </c>
      <c r="I17" s="198">
        <v>0</v>
      </c>
      <c r="J17" s="198">
        <v>0</v>
      </c>
      <c r="K17" s="198">
        <v>0</v>
      </c>
      <c r="L17" s="198">
        <v>0</v>
      </c>
      <c r="M17" s="198">
        <v>0</v>
      </c>
      <c r="N17" s="198">
        <v>0</v>
      </c>
      <c r="O17" s="198">
        <v>0</v>
      </c>
      <c r="P17" s="198">
        <v>0</v>
      </c>
      <c r="Q17" s="198">
        <v>0</v>
      </c>
      <c r="R17" s="198">
        <v>0</v>
      </c>
      <c r="S17" s="198">
        <v>91000</v>
      </c>
      <c r="T17" s="198">
        <v>91000</v>
      </c>
      <c r="U17" s="199">
        <v>91000</v>
      </c>
      <c r="V17" s="199">
        <v>0</v>
      </c>
      <c r="W17" s="199" t="s">
        <v>206</v>
      </c>
      <c r="X17" s="203" t="s">
        <v>206</v>
      </c>
    </row>
    <row r="18" spans="1:24" x14ac:dyDescent="0.25">
      <c r="A18" s="114">
        <v>521207</v>
      </c>
      <c r="B18" s="196" t="s">
        <v>130</v>
      </c>
      <c r="C18" s="198">
        <v>0</v>
      </c>
      <c r="D18" s="198">
        <v>0</v>
      </c>
      <c r="E18" s="198">
        <v>0</v>
      </c>
      <c r="F18" s="198">
        <v>0</v>
      </c>
      <c r="G18" s="198">
        <v>0</v>
      </c>
      <c r="H18" s="198">
        <v>0</v>
      </c>
      <c r="I18" s="198">
        <v>0</v>
      </c>
      <c r="J18" s="198">
        <v>0</v>
      </c>
      <c r="K18" s="198">
        <v>0</v>
      </c>
      <c r="L18" s="198">
        <v>0</v>
      </c>
      <c r="M18" s="198">
        <v>0</v>
      </c>
      <c r="N18" s="198">
        <v>0</v>
      </c>
      <c r="O18" s="198">
        <v>0</v>
      </c>
      <c r="P18" s="198">
        <v>0</v>
      </c>
      <c r="Q18" s="198">
        <v>0</v>
      </c>
      <c r="R18" s="198">
        <v>450000</v>
      </c>
      <c r="S18" s="198">
        <v>650000</v>
      </c>
      <c r="T18" s="198">
        <v>1100000</v>
      </c>
      <c r="U18" s="199">
        <v>1255000</v>
      </c>
      <c r="V18" s="199">
        <v>-155000</v>
      </c>
      <c r="W18" s="200">
        <v>-0.12350597609561753</v>
      </c>
      <c r="X18" s="201">
        <v>-0.12350597609561753</v>
      </c>
    </row>
    <row r="19" spans="1:24" x14ac:dyDescent="0.25">
      <c r="A19" s="114">
        <v>521208</v>
      </c>
      <c r="B19" s="196" t="s">
        <v>165</v>
      </c>
      <c r="C19" s="198">
        <v>0</v>
      </c>
      <c r="D19" s="198">
        <v>0</v>
      </c>
      <c r="E19" s="198">
        <v>0</v>
      </c>
      <c r="F19" s="198">
        <v>0</v>
      </c>
      <c r="G19" s="198">
        <v>0</v>
      </c>
      <c r="H19" s="198">
        <v>0</v>
      </c>
      <c r="I19" s="198">
        <v>0</v>
      </c>
      <c r="J19" s="198">
        <v>0</v>
      </c>
      <c r="K19" s="198">
        <v>0</v>
      </c>
      <c r="L19" s="198">
        <v>0</v>
      </c>
      <c r="M19" s="198">
        <v>0</v>
      </c>
      <c r="N19" s="198">
        <v>0</v>
      </c>
      <c r="O19" s="198">
        <v>0</v>
      </c>
      <c r="P19" s="198">
        <v>0</v>
      </c>
      <c r="Q19" s="198">
        <v>0</v>
      </c>
      <c r="R19" s="198">
        <v>17741555</v>
      </c>
      <c r="S19" s="198">
        <v>0</v>
      </c>
      <c r="T19" s="198">
        <v>17741555</v>
      </c>
      <c r="U19" s="199">
        <v>16402810</v>
      </c>
      <c r="V19" s="199">
        <v>1338745</v>
      </c>
      <c r="W19" s="199">
        <v>8.1616808339546695E-2</v>
      </c>
      <c r="X19" s="202">
        <v>8.1616808339546695E-2</v>
      </c>
    </row>
    <row r="20" spans="1:24" x14ac:dyDescent="0.25">
      <c r="A20" s="114">
        <v>521209</v>
      </c>
      <c r="B20" s="196" t="s">
        <v>144</v>
      </c>
      <c r="C20" s="198">
        <v>0</v>
      </c>
      <c r="D20" s="198">
        <v>0</v>
      </c>
      <c r="E20" s="198">
        <v>0</v>
      </c>
      <c r="F20" s="198">
        <v>0</v>
      </c>
      <c r="G20" s="198">
        <v>68400</v>
      </c>
      <c r="H20" s="198">
        <v>0</v>
      </c>
      <c r="I20" s="198">
        <v>0</v>
      </c>
      <c r="J20" s="198">
        <v>0</v>
      </c>
      <c r="K20" s="198">
        <v>0</v>
      </c>
      <c r="L20" s="198">
        <v>0</v>
      </c>
      <c r="M20" s="198">
        <v>0</v>
      </c>
      <c r="N20" s="198">
        <v>0</v>
      </c>
      <c r="O20" s="198">
        <v>0</v>
      </c>
      <c r="P20" s="198">
        <v>0</v>
      </c>
      <c r="Q20" s="198">
        <v>0</v>
      </c>
      <c r="R20" s="198">
        <v>0</v>
      </c>
      <c r="S20" s="198">
        <v>0</v>
      </c>
      <c r="T20" s="198">
        <v>68400</v>
      </c>
      <c r="U20" s="199">
        <v>50150</v>
      </c>
      <c r="V20" s="199">
        <v>18250</v>
      </c>
      <c r="W20" s="199">
        <v>0.36390827517447655</v>
      </c>
      <c r="X20" s="202">
        <v>0.36390827517447655</v>
      </c>
    </row>
    <row r="21" spans="1:24" x14ac:dyDescent="0.25">
      <c r="A21" s="114">
        <v>521212</v>
      </c>
      <c r="B21" s="196" t="s">
        <v>150</v>
      </c>
      <c r="C21" s="198">
        <v>0</v>
      </c>
      <c r="D21" s="198">
        <v>0</v>
      </c>
      <c r="E21" s="198">
        <v>0</v>
      </c>
      <c r="F21" s="198">
        <v>0</v>
      </c>
      <c r="G21" s="198">
        <v>0</v>
      </c>
      <c r="H21" s="198">
        <v>0</v>
      </c>
      <c r="I21" s="198">
        <v>11412338</v>
      </c>
      <c r="J21" s="198">
        <v>0</v>
      </c>
      <c r="K21" s="198">
        <v>0</v>
      </c>
      <c r="L21" s="198">
        <v>36992919.100000001</v>
      </c>
      <c r="M21" s="198">
        <v>0</v>
      </c>
      <c r="N21" s="198">
        <v>0</v>
      </c>
      <c r="O21" s="198">
        <v>0</v>
      </c>
      <c r="P21" s="198">
        <v>0</v>
      </c>
      <c r="Q21" s="198">
        <v>0</v>
      </c>
      <c r="R21" s="198">
        <v>114500</v>
      </c>
      <c r="S21" s="198">
        <v>0</v>
      </c>
      <c r="T21" s="198">
        <v>48519757.100000001</v>
      </c>
      <c r="U21" s="199">
        <v>45921184</v>
      </c>
      <c r="V21" s="199">
        <v>2598573.1</v>
      </c>
      <c r="W21" s="199">
        <v>5.6587676397890786E-2</v>
      </c>
      <c r="X21" s="202">
        <v>8.0541762599152494E-2</v>
      </c>
    </row>
    <row r="22" spans="1:24" x14ac:dyDescent="0.25">
      <c r="A22" s="114">
        <v>521213</v>
      </c>
      <c r="B22" s="196" t="s">
        <v>187</v>
      </c>
      <c r="C22" s="198">
        <v>0</v>
      </c>
      <c r="D22" s="198">
        <v>0</v>
      </c>
      <c r="E22" s="198">
        <v>0</v>
      </c>
      <c r="F22" s="198">
        <v>0</v>
      </c>
      <c r="G22" s="198">
        <v>0</v>
      </c>
      <c r="H22" s="198">
        <v>0</v>
      </c>
      <c r="I22" s="198">
        <v>0</v>
      </c>
      <c r="J22" s="198">
        <v>0</v>
      </c>
      <c r="K22" s="198">
        <v>0</v>
      </c>
      <c r="L22" s="198">
        <v>0</v>
      </c>
      <c r="M22" s="198">
        <v>0</v>
      </c>
      <c r="N22" s="198">
        <v>0</v>
      </c>
      <c r="O22" s="198">
        <v>27400437</v>
      </c>
      <c r="P22" s="198">
        <v>0</v>
      </c>
      <c r="Q22" s="198">
        <v>0</v>
      </c>
      <c r="R22" s="198">
        <v>0</v>
      </c>
      <c r="S22" s="198">
        <v>0</v>
      </c>
      <c r="T22" s="198">
        <v>27400437</v>
      </c>
      <c r="U22" s="199">
        <v>28124877</v>
      </c>
      <c r="V22" s="199">
        <v>-724440</v>
      </c>
      <c r="W22" s="200">
        <v>-2.5757979314896203E-2</v>
      </c>
      <c r="X22" s="201">
        <v>-2.5757979314896203E-2</v>
      </c>
    </row>
    <row r="23" spans="1:24" x14ac:dyDescent="0.25">
      <c r="A23" s="114">
        <v>521301</v>
      </c>
      <c r="B23" s="196" t="s">
        <v>178</v>
      </c>
      <c r="C23" s="198">
        <v>0</v>
      </c>
      <c r="D23" s="198">
        <v>0</v>
      </c>
      <c r="E23" s="198">
        <v>0</v>
      </c>
      <c r="F23" s="198">
        <v>0</v>
      </c>
      <c r="G23" s="198">
        <v>0</v>
      </c>
      <c r="H23" s="198">
        <v>0</v>
      </c>
      <c r="I23" s="198">
        <v>31132670</v>
      </c>
      <c r="J23" s="198">
        <v>0</v>
      </c>
      <c r="K23" s="198">
        <v>0</v>
      </c>
      <c r="L23" s="198">
        <v>0</v>
      </c>
      <c r="M23" s="198">
        <v>0</v>
      </c>
      <c r="N23" s="198">
        <v>0</v>
      </c>
      <c r="O23" s="198">
        <v>3728043</v>
      </c>
      <c r="P23" s="198">
        <v>0</v>
      </c>
      <c r="Q23" s="198">
        <v>0</v>
      </c>
      <c r="R23" s="198">
        <v>0</v>
      </c>
      <c r="S23" s="198">
        <v>0</v>
      </c>
      <c r="T23" s="198">
        <v>34860713</v>
      </c>
      <c r="U23" s="199">
        <v>33822261</v>
      </c>
      <c r="V23" s="199">
        <v>1038452</v>
      </c>
      <c r="W23" s="199">
        <v>3.0703210527528009E-2</v>
      </c>
      <c r="X23" s="202">
        <v>3.0703210527528009E-2</v>
      </c>
    </row>
    <row r="24" spans="1:24" x14ac:dyDescent="0.25">
      <c r="A24" s="114">
        <v>522201</v>
      </c>
      <c r="B24" s="196" t="s">
        <v>207</v>
      </c>
      <c r="C24" s="198">
        <v>0</v>
      </c>
      <c r="D24" s="198">
        <v>0</v>
      </c>
      <c r="E24" s="198">
        <v>0</v>
      </c>
      <c r="F24" s="198">
        <v>0</v>
      </c>
      <c r="G24" s="198">
        <v>0</v>
      </c>
      <c r="H24" s="198">
        <v>0</v>
      </c>
      <c r="I24" s="198">
        <v>0</v>
      </c>
      <c r="J24" s="198">
        <v>0</v>
      </c>
      <c r="K24" s="198">
        <v>0</v>
      </c>
      <c r="L24" s="198">
        <v>715000</v>
      </c>
      <c r="M24" s="198">
        <v>0</v>
      </c>
      <c r="N24" s="198">
        <v>0</v>
      </c>
      <c r="O24" s="198">
        <v>0</v>
      </c>
      <c r="P24" s="198">
        <v>0</v>
      </c>
      <c r="Q24" s="198">
        <v>0</v>
      </c>
      <c r="R24" s="198">
        <v>0</v>
      </c>
      <c r="S24" s="198">
        <v>0</v>
      </c>
      <c r="T24" s="198">
        <v>715000</v>
      </c>
      <c r="U24" s="199">
        <v>700000</v>
      </c>
      <c r="V24" s="199">
        <v>15000</v>
      </c>
      <c r="W24" s="199">
        <v>2.1428571428571429E-2</v>
      </c>
      <c r="X24" s="202">
        <v>2.1428571428571429E-2</v>
      </c>
    </row>
    <row r="25" spans="1:24" x14ac:dyDescent="0.25">
      <c r="A25" s="114">
        <v>522202</v>
      </c>
      <c r="B25" s="196" t="s">
        <v>154</v>
      </c>
      <c r="C25" s="198">
        <v>0</v>
      </c>
      <c r="D25" s="198">
        <v>0</v>
      </c>
      <c r="E25" s="198">
        <v>0</v>
      </c>
      <c r="F25" s="198">
        <v>0</v>
      </c>
      <c r="G25" s="198">
        <v>0</v>
      </c>
      <c r="H25" s="198">
        <v>0</v>
      </c>
      <c r="I25" s="198">
        <v>0</v>
      </c>
      <c r="J25" s="198">
        <v>0</v>
      </c>
      <c r="K25" s="198">
        <v>0</v>
      </c>
      <c r="L25" s="198">
        <v>668594</v>
      </c>
      <c r="M25" s="198">
        <v>0</v>
      </c>
      <c r="N25" s="198">
        <v>0</v>
      </c>
      <c r="O25" s="198">
        <v>0</v>
      </c>
      <c r="P25" s="198">
        <v>0</v>
      </c>
      <c r="Q25" s="198">
        <v>0</v>
      </c>
      <c r="R25" s="198">
        <v>0</v>
      </c>
      <c r="S25" s="198">
        <v>0</v>
      </c>
      <c r="T25" s="198">
        <v>668594</v>
      </c>
      <c r="U25" s="199">
        <v>619571.88</v>
      </c>
      <c r="V25" s="199">
        <v>49022.12</v>
      </c>
      <c r="W25" s="199">
        <v>7.9122570895244632E-2</v>
      </c>
      <c r="X25" s="202">
        <v>7.9122570895244632E-2</v>
      </c>
    </row>
    <row r="26" spans="1:24" x14ac:dyDescent="0.25">
      <c r="A26" s="114">
        <v>522203</v>
      </c>
      <c r="B26" s="196" t="s">
        <v>188</v>
      </c>
      <c r="C26" s="198">
        <v>0</v>
      </c>
      <c r="D26" s="198">
        <v>0</v>
      </c>
      <c r="E26" s="198">
        <v>0</v>
      </c>
      <c r="F26" s="198">
        <v>0</v>
      </c>
      <c r="G26" s="198">
        <v>0</v>
      </c>
      <c r="H26" s="198">
        <v>0</v>
      </c>
      <c r="I26" s="198">
        <v>0</v>
      </c>
      <c r="J26" s="198">
        <v>0</v>
      </c>
      <c r="K26" s="198">
        <v>0</v>
      </c>
      <c r="L26" s="198">
        <v>0</v>
      </c>
      <c r="M26" s="198">
        <v>0</v>
      </c>
      <c r="N26" s="198">
        <v>0</v>
      </c>
      <c r="O26" s="198">
        <v>1482000</v>
      </c>
      <c r="P26" s="198">
        <v>0</v>
      </c>
      <c r="Q26" s="198">
        <v>0</v>
      </c>
      <c r="R26" s="198">
        <v>0</v>
      </c>
      <c r="S26" s="198">
        <v>0</v>
      </c>
      <c r="T26" s="198">
        <v>1482000</v>
      </c>
      <c r="U26" s="199">
        <v>2629100</v>
      </c>
      <c r="V26" s="199">
        <v>-1147100</v>
      </c>
      <c r="W26" s="200">
        <v>-0.4363090030809022</v>
      </c>
      <c r="X26" s="201">
        <v>-0.4363090030809022</v>
      </c>
    </row>
    <row r="27" spans="1:24" x14ac:dyDescent="0.25">
      <c r="A27" s="114">
        <v>522204</v>
      </c>
      <c r="B27" s="196" t="s">
        <v>189</v>
      </c>
      <c r="C27" s="198">
        <v>0</v>
      </c>
      <c r="D27" s="198">
        <v>0</v>
      </c>
      <c r="E27" s="198">
        <v>0</v>
      </c>
      <c r="F27" s="198">
        <v>0</v>
      </c>
      <c r="G27" s="198">
        <v>0</v>
      </c>
      <c r="H27" s="198">
        <v>0</v>
      </c>
      <c r="I27" s="198">
        <v>0</v>
      </c>
      <c r="J27" s="198">
        <v>0</v>
      </c>
      <c r="K27" s="198">
        <v>0</v>
      </c>
      <c r="L27" s="198">
        <v>0</v>
      </c>
      <c r="M27" s="198">
        <v>0</v>
      </c>
      <c r="N27" s="198">
        <v>0</v>
      </c>
      <c r="O27" s="198">
        <v>3387000</v>
      </c>
      <c r="P27" s="198">
        <v>0</v>
      </c>
      <c r="Q27" s="198">
        <v>0</v>
      </c>
      <c r="R27" s="198">
        <v>0</v>
      </c>
      <c r="S27" s="198">
        <v>0</v>
      </c>
      <c r="T27" s="198">
        <v>3387000</v>
      </c>
      <c r="U27" s="199">
        <v>6357200</v>
      </c>
      <c r="V27" s="199">
        <v>-2970200</v>
      </c>
      <c r="W27" s="200">
        <v>-0.46721827219530609</v>
      </c>
      <c r="X27" s="201">
        <v>-0.46721827219530609</v>
      </c>
    </row>
    <row r="28" spans="1:24" x14ac:dyDescent="0.25">
      <c r="A28" s="114">
        <v>522205</v>
      </c>
      <c r="B28" s="196" t="s">
        <v>190</v>
      </c>
      <c r="C28" s="198">
        <v>0</v>
      </c>
      <c r="D28" s="198">
        <v>0</v>
      </c>
      <c r="E28" s="198">
        <v>0</v>
      </c>
      <c r="F28" s="198">
        <v>0</v>
      </c>
      <c r="G28" s="198">
        <v>0</v>
      </c>
      <c r="H28" s="198">
        <v>0</v>
      </c>
      <c r="I28" s="198">
        <v>0</v>
      </c>
      <c r="J28" s="198">
        <v>0</v>
      </c>
      <c r="K28" s="198">
        <v>0</v>
      </c>
      <c r="L28" s="198">
        <v>0</v>
      </c>
      <c r="M28" s="198">
        <v>0</v>
      </c>
      <c r="N28" s="198">
        <v>0</v>
      </c>
      <c r="O28" s="198">
        <v>14115000</v>
      </c>
      <c r="P28" s="198">
        <v>0</v>
      </c>
      <c r="Q28" s="198">
        <v>0</v>
      </c>
      <c r="R28" s="198">
        <v>0</v>
      </c>
      <c r="S28" s="198">
        <v>0</v>
      </c>
      <c r="T28" s="198">
        <v>14115000</v>
      </c>
      <c r="U28" s="199">
        <v>24140000</v>
      </c>
      <c r="V28" s="199">
        <v>-10025000</v>
      </c>
      <c r="W28" s="200">
        <v>-0.4152858326429163</v>
      </c>
      <c r="X28" s="201">
        <v>-0.4152858326429163</v>
      </c>
    </row>
    <row r="29" spans="1:24" x14ac:dyDescent="0.25">
      <c r="A29" s="114">
        <v>522206</v>
      </c>
      <c r="B29" s="196" t="s">
        <v>191</v>
      </c>
      <c r="C29" s="198">
        <v>0</v>
      </c>
      <c r="D29" s="198">
        <v>0</v>
      </c>
      <c r="E29" s="198">
        <v>0</v>
      </c>
      <c r="F29" s="198">
        <v>0</v>
      </c>
      <c r="G29" s="198">
        <v>0</v>
      </c>
      <c r="H29" s="198">
        <v>0</v>
      </c>
      <c r="I29" s="198">
        <v>0</v>
      </c>
      <c r="J29" s="198">
        <v>0</v>
      </c>
      <c r="K29" s="198">
        <v>0</v>
      </c>
      <c r="L29" s="198">
        <v>0</v>
      </c>
      <c r="M29" s="198">
        <v>0</v>
      </c>
      <c r="N29" s="198">
        <v>0</v>
      </c>
      <c r="O29" s="198">
        <v>10981000</v>
      </c>
      <c r="P29" s="198">
        <v>0</v>
      </c>
      <c r="Q29" s="198">
        <v>0</v>
      </c>
      <c r="R29" s="198">
        <v>0</v>
      </c>
      <c r="S29" s="198">
        <v>0</v>
      </c>
      <c r="T29" s="198">
        <v>10981000</v>
      </c>
      <c r="U29" s="199">
        <v>11350000</v>
      </c>
      <c r="V29" s="199">
        <v>-369000</v>
      </c>
      <c r="W29" s="200">
        <v>-3.251101321585903E-2</v>
      </c>
      <c r="X29" s="201">
        <v>-3.251101321585903E-2</v>
      </c>
    </row>
    <row r="30" spans="1:24" x14ac:dyDescent="0.25">
      <c r="A30" s="114">
        <v>522301</v>
      </c>
      <c r="B30" s="196" t="s">
        <v>183</v>
      </c>
      <c r="C30" s="198">
        <v>0</v>
      </c>
      <c r="D30" s="198">
        <v>0</v>
      </c>
      <c r="E30" s="198">
        <v>0</v>
      </c>
      <c r="F30" s="198">
        <v>0</v>
      </c>
      <c r="G30" s="198">
        <v>0</v>
      </c>
      <c r="H30" s="198">
        <v>0</v>
      </c>
      <c r="I30" s="198">
        <v>0</v>
      </c>
      <c r="J30" s="198">
        <v>0</v>
      </c>
      <c r="K30" s="198">
        <v>0</v>
      </c>
      <c r="L30" s="198">
        <v>477583</v>
      </c>
      <c r="M30" s="198">
        <v>0</v>
      </c>
      <c r="N30" s="198">
        <v>0</v>
      </c>
      <c r="O30" s="198">
        <v>0</v>
      </c>
      <c r="P30" s="198">
        <v>0</v>
      </c>
      <c r="Q30" s="198">
        <v>0</v>
      </c>
      <c r="R30" s="198">
        <v>0</v>
      </c>
      <c r="S30" s="198">
        <v>0</v>
      </c>
      <c r="T30" s="198">
        <v>477583</v>
      </c>
      <c r="U30" s="199">
        <v>376000</v>
      </c>
      <c r="V30" s="199">
        <v>101583</v>
      </c>
      <c r="W30" s="199">
        <v>0.27016755319148938</v>
      </c>
      <c r="X30" s="202">
        <v>0.27016755319148938</v>
      </c>
    </row>
    <row r="31" spans="1:24" x14ac:dyDescent="0.25">
      <c r="A31" s="114">
        <v>522302</v>
      </c>
      <c r="B31" s="196" t="s">
        <v>145</v>
      </c>
      <c r="C31" s="198">
        <v>0</v>
      </c>
      <c r="D31" s="198">
        <v>0</v>
      </c>
      <c r="E31" s="198">
        <v>0</v>
      </c>
      <c r="F31" s="198">
        <v>0</v>
      </c>
      <c r="G31" s="198">
        <v>35200</v>
      </c>
      <c r="H31" s="198">
        <v>0</v>
      </c>
      <c r="I31" s="198">
        <v>0</v>
      </c>
      <c r="J31" s="198">
        <v>0</v>
      </c>
      <c r="K31" s="198">
        <v>0</v>
      </c>
      <c r="L31" s="198">
        <v>70000</v>
      </c>
      <c r="M31" s="198">
        <v>0</v>
      </c>
      <c r="N31" s="198">
        <v>0</v>
      </c>
      <c r="O31" s="198">
        <v>0</v>
      </c>
      <c r="P31" s="198">
        <v>0</v>
      </c>
      <c r="Q31" s="198">
        <v>0</v>
      </c>
      <c r="R31" s="198">
        <v>0</v>
      </c>
      <c r="S31" s="198">
        <v>0</v>
      </c>
      <c r="T31" s="198">
        <v>105200</v>
      </c>
      <c r="U31" s="199">
        <v>90550</v>
      </c>
      <c r="V31" s="199">
        <v>14650</v>
      </c>
      <c r="W31" s="199">
        <v>0.16178906681391497</v>
      </c>
      <c r="X31" s="202">
        <v>0.16178906681391497</v>
      </c>
    </row>
    <row r="32" spans="1:24" x14ac:dyDescent="0.25">
      <c r="A32" s="114">
        <v>523101</v>
      </c>
      <c r="B32" s="196" t="s">
        <v>166</v>
      </c>
      <c r="C32" s="198">
        <v>0</v>
      </c>
      <c r="D32" s="198">
        <v>0</v>
      </c>
      <c r="E32" s="198">
        <v>0</v>
      </c>
      <c r="F32" s="198">
        <v>0</v>
      </c>
      <c r="G32" s="198">
        <v>0</v>
      </c>
      <c r="H32" s="198">
        <v>0</v>
      </c>
      <c r="I32" s="198">
        <v>0</v>
      </c>
      <c r="J32" s="198">
        <v>0</v>
      </c>
      <c r="K32" s="198">
        <v>0</v>
      </c>
      <c r="L32" s="198">
        <v>500</v>
      </c>
      <c r="M32" s="198">
        <v>0</v>
      </c>
      <c r="N32" s="198">
        <v>0</v>
      </c>
      <c r="O32" s="198">
        <v>0</v>
      </c>
      <c r="P32" s="198">
        <v>0</v>
      </c>
      <c r="Q32" s="198">
        <v>0</v>
      </c>
      <c r="R32" s="198">
        <v>6487528</v>
      </c>
      <c r="S32" s="198">
        <v>0</v>
      </c>
      <c r="T32" s="198">
        <v>6488028</v>
      </c>
      <c r="U32" s="199">
        <v>6637528</v>
      </c>
      <c r="V32" s="199">
        <v>-149500</v>
      </c>
      <c r="W32" s="200">
        <v>-2.2523445475484245E-2</v>
      </c>
      <c r="X32" s="201">
        <v>-2.2598774724566135E-2</v>
      </c>
    </row>
    <row r="33" spans="1:24" x14ac:dyDescent="0.25">
      <c r="A33" s="114">
        <v>523201</v>
      </c>
      <c r="B33" s="196" t="s">
        <v>146</v>
      </c>
      <c r="C33" s="198">
        <v>0</v>
      </c>
      <c r="D33" s="198">
        <v>0</v>
      </c>
      <c r="E33" s="198">
        <v>0</v>
      </c>
      <c r="F33" s="198">
        <v>0</v>
      </c>
      <c r="G33" s="198">
        <v>19750000</v>
      </c>
      <c r="H33" s="198">
        <v>0</v>
      </c>
      <c r="I33" s="198">
        <v>0</v>
      </c>
      <c r="J33" s="198">
        <v>0</v>
      </c>
      <c r="K33" s="198">
        <v>0</v>
      </c>
      <c r="L33" s="198">
        <v>0</v>
      </c>
      <c r="M33" s="198">
        <v>0</v>
      </c>
      <c r="N33" s="198">
        <v>0</v>
      </c>
      <c r="O33" s="198">
        <v>0</v>
      </c>
      <c r="P33" s="198">
        <v>0</v>
      </c>
      <c r="Q33" s="198">
        <v>0</v>
      </c>
      <c r="R33" s="198">
        <v>0</v>
      </c>
      <c r="S33" s="198">
        <v>0</v>
      </c>
      <c r="T33" s="198">
        <v>19750000</v>
      </c>
      <c r="U33" s="199">
        <v>19100000</v>
      </c>
      <c r="V33" s="199">
        <v>650000</v>
      </c>
      <c r="W33" s="199">
        <v>3.4031413612565446E-2</v>
      </c>
      <c r="X33" s="202">
        <v>0.22018439790575917</v>
      </c>
    </row>
    <row r="34" spans="1:24" x14ac:dyDescent="0.25">
      <c r="A34" s="114">
        <v>523202</v>
      </c>
      <c r="B34" s="196" t="s">
        <v>151</v>
      </c>
      <c r="C34" s="198">
        <v>0</v>
      </c>
      <c r="D34" s="198">
        <v>0</v>
      </c>
      <c r="E34" s="198">
        <v>0</v>
      </c>
      <c r="F34" s="198">
        <v>0</v>
      </c>
      <c r="G34" s="198">
        <v>0</v>
      </c>
      <c r="H34" s="198">
        <v>0</v>
      </c>
      <c r="I34" s="198">
        <v>1500000</v>
      </c>
      <c r="J34" s="198">
        <v>0</v>
      </c>
      <c r="K34" s="198">
        <v>0</v>
      </c>
      <c r="L34" s="198">
        <v>245000</v>
      </c>
      <c r="M34" s="198">
        <v>0</v>
      </c>
      <c r="N34" s="198">
        <v>0</v>
      </c>
      <c r="O34" s="198">
        <v>0</v>
      </c>
      <c r="P34" s="198">
        <v>0</v>
      </c>
      <c r="Q34" s="198">
        <v>0</v>
      </c>
      <c r="R34" s="198">
        <v>0</v>
      </c>
      <c r="S34" s="198">
        <v>0</v>
      </c>
      <c r="T34" s="198">
        <v>1745000</v>
      </c>
      <c r="U34" s="199">
        <v>1785000</v>
      </c>
      <c r="V34" s="199">
        <v>-40000</v>
      </c>
      <c r="W34" s="200">
        <v>-2.2408963585434174E-2</v>
      </c>
      <c r="X34" s="201">
        <v>-2.2408963585434174E-2</v>
      </c>
    </row>
    <row r="35" spans="1:24" x14ac:dyDescent="0.25">
      <c r="A35" s="114">
        <v>523203</v>
      </c>
      <c r="B35" s="196" t="s">
        <v>128</v>
      </c>
      <c r="C35" s="198">
        <v>0</v>
      </c>
      <c r="D35" s="198">
        <v>0</v>
      </c>
      <c r="E35" s="198">
        <v>0</v>
      </c>
      <c r="F35" s="198">
        <v>0</v>
      </c>
      <c r="G35" s="198">
        <v>0</v>
      </c>
      <c r="H35" s="198">
        <v>0</v>
      </c>
      <c r="I35" s="198">
        <v>0</v>
      </c>
      <c r="J35" s="198">
        <v>0</v>
      </c>
      <c r="K35" s="198">
        <v>0</v>
      </c>
      <c r="L35" s="198">
        <v>0</v>
      </c>
      <c r="M35" s="198">
        <v>0</v>
      </c>
      <c r="N35" s="198">
        <v>61000</v>
      </c>
      <c r="O35" s="198">
        <v>0</v>
      </c>
      <c r="P35" s="198">
        <v>0</v>
      </c>
      <c r="Q35" s="198">
        <v>0</v>
      </c>
      <c r="R35" s="198">
        <v>0</v>
      </c>
      <c r="S35" s="198">
        <v>0</v>
      </c>
      <c r="T35" s="198">
        <v>61000</v>
      </c>
      <c r="U35" s="199">
        <v>44369</v>
      </c>
      <c r="V35" s="199">
        <v>16631</v>
      </c>
      <c r="W35" s="199">
        <v>0.37483378034213077</v>
      </c>
      <c r="X35" s="202">
        <v>0.37483378034213077</v>
      </c>
    </row>
    <row r="36" spans="1:24" x14ac:dyDescent="0.25">
      <c r="A36" s="114">
        <v>523301</v>
      </c>
      <c r="B36" s="196" t="s">
        <v>139</v>
      </c>
      <c r="C36" s="198">
        <v>0</v>
      </c>
      <c r="D36" s="198">
        <v>0</v>
      </c>
      <c r="E36" s="198">
        <v>0</v>
      </c>
      <c r="F36" s="198">
        <v>0</v>
      </c>
      <c r="G36" s="198">
        <v>0</v>
      </c>
      <c r="H36" s="198">
        <v>222000</v>
      </c>
      <c r="I36" s="198">
        <v>0</v>
      </c>
      <c r="J36" s="198">
        <v>0</v>
      </c>
      <c r="K36" s="198">
        <v>0</v>
      </c>
      <c r="L36" s="198">
        <v>0</v>
      </c>
      <c r="M36" s="198">
        <v>0</v>
      </c>
      <c r="N36" s="198">
        <v>0</v>
      </c>
      <c r="O36" s="198">
        <v>0</v>
      </c>
      <c r="P36" s="198">
        <v>0</v>
      </c>
      <c r="Q36" s="198">
        <v>0</v>
      </c>
      <c r="R36" s="198">
        <v>0</v>
      </c>
      <c r="S36" s="198">
        <v>0</v>
      </c>
      <c r="T36" s="198">
        <v>222000</v>
      </c>
      <c r="U36" s="199">
        <v>222000</v>
      </c>
      <c r="V36" s="199">
        <v>0</v>
      </c>
      <c r="W36" s="199" t="s">
        <v>206</v>
      </c>
      <c r="X36" s="203" t="s">
        <v>206</v>
      </c>
    </row>
    <row r="37" spans="1:24" x14ac:dyDescent="0.25">
      <c r="A37" s="114">
        <v>523304</v>
      </c>
      <c r="B37" s="196" t="s">
        <v>208</v>
      </c>
      <c r="C37" s="198">
        <v>1000</v>
      </c>
      <c r="D37" s="198">
        <v>0</v>
      </c>
      <c r="E37" s="198">
        <v>0</v>
      </c>
      <c r="F37" s="198">
        <v>124525</v>
      </c>
      <c r="G37" s="198">
        <v>50000</v>
      </c>
      <c r="H37" s="198">
        <v>16000</v>
      </c>
      <c r="I37" s="198">
        <v>0</v>
      </c>
      <c r="J37" s="198">
        <v>0</v>
      </c>
      <c r="K37" s="198">
        <v>0</v>
      </c>
      <c r="L37" s="198">
        <v>0</v>
      </c>
      <c r="M37" s="198">
        <v>0</v>
      </c>
      <c r="N37" s="198">
        <v>0</v>
      </c>
      <c r="O37" s="198">
        <v>0</v>
      </c>
      <c r="P37" s="198">
        <v>1715841</v>
      </c>
      <c r="Q37" s="198">
        <v>0</v>
      </c>
      <c r="R37" s="198">
        <v>6229</v>
      </c>
      <c r="S37" s="198">
        <v>700</v>
      </c>
      <c r="T37" s="198">
        <v>1914295</v>
      </c>
      <c r="U37" s="199">
        <v>1963273</v>
      </c>
      <c r="V37" s="199">
        <v>-48978</v>
      </c>
      <c r="W37" s="200">
        <v>-2.4947116371487818E-2</v>
      </c>
      <c r="X37" s="201">
        <v>-0.87344908222137219</v>
      </c>
    </row>
    <row r="38" spans="1:24" x14ac:dyDescent="0.25">
      <c r="A38" s="114">
        <v>523305</v>
      </c>
      <c r="B38" s="196" t="s">
        <v>163</v>
      </c>
      <c r="C38" s="198">
        <v>0</v>
      </c>
      <c r="D38" s="198">
        <v>0</v>
      </c>
      <c r="E38" s="198">
        <v>0</v>
      </c>
      <c r="F38" s="198">
        <v>0</v>
      </c>
      <c r="G38" s="198">
        <v>25000</v>
      </c>
      <c r="H38" s="198">
        <v>0</v>
      </c>
      <c r="I38" s="198">
        <v>0</v>
      </c>
      <c r="J38" s="198">
        <v>800</v>
      </c>
      <c r="K38" s="198">
        <v>0</v>
      </c>
      <c r="L38" s="198">
        <v>10600</v>
      </c>
      <c r="M38" s="198">
        <v>0</v>
      </c>
      <c r="N38" s="198">
        <v>0</v>
      </c>
      <c r="O38" s="198">
        <v>0</v>
      </c>
      <c r="P38" s="198">
        <v>54678</v>
      </c>
      <c r="Q38" s="198">
        <v>1000</v>
      </c>
      <c r="R38" s="198">
        <v>0</v>
      </c>
      <c r="S38" s="198">
        <v>0</v>
      </c>
      <c r="T38" s="198">
        <v>92078</v>
      </c>
      <c r="U38" s="199">
        <v>55478</v>
      </c>
      <c r="V38" s="199">
        <v>36600</v>
      </c>
      <c r="W38" s="199">
        <v>0.65972097047478284</v>
      </c>
      <c r="X38" s="202">
        <v>0.19106672915389886</v>
      </c>
    </row>
    <row r="39" spans="1:24" x14ac:dyDescent="0.25">
      <c r="A39" s="114">
        <v>523306</v>
      </c>
      <c r="B39" s="196" t="s">
        <v>209</v>
      </c>
      <c r="C39" s="198">
        <v>0</v>
      </c>
      <c r="D39" s="198">
        <v>0</v>
      </c>
      <c r="E39" s="198">
        <v>0</v>
      </c>
      <c r="F39" s="198">
        <v>0</v>
      </c>
      <c r="G39" s="198">
        <v>0</v>
      </c>
      <c r="H39" s="198">
        <v>0</v>
      </c>
      <c r="I39" s="198">
        <v>0</v>
      </c>
      <c r="J39" s="198">
        <v>0</v>
      </c>
      <c r="K39" s="198">
        <v>0</v>
      </c>
      <c r="L39" s="198">
        <v>0</v>
      </c>
      <c r="M39" s="198">
        <v>0</v>
      </c>
      <c r="N39" s="198">
        <v>0</v>
      </c>
      <c r="O39" s="198">
        <v>0</v>
      </c>
      <c r="P39" s="198">
        <v>2256053</v>
      </c>
      <c r="Q39" s="198">
        <v>0</v>
      </c>
      <c r="R39" s="198">
        <v>0</v>
      </c>
      <c r="S39" s="198">
        <v>0</v>
      </c>
      <c r="T39" s="198">
        <v>2256053</v>
      </c>
      <c r="U39" s="199">
        <v>2169282</v>
      </c>
      <c r="V39" s="199">
        <v>86771</v>
      </c>
      <c r="W39" s="199">
        <v>3.9999870925034181E-2</v>
      </c>
      <c r="X39" s="202">
        <v>3.9999870925034181E-2</v>
      </c>
    </row>
    <row r="40" spans="1:24" x14ac:dyDescent="0.25">
      <c r="A40" s="114">
        <v>523307</v>
      </c>
      <c r="B40" s="196" t="s">
        <v>210</v>
      </c>
      <c r="C40" s="198">
        <v>0</v>
      </c>
      <c r="D40" s="198">
        <v>0</v>
      </c>
      <c r="E40" s="198">
        <v>0</v>
      </c>
      <c r="F40" s="198">
        <v>0</v>
      </c>
      <c r="G40" s="198">
        <v>0</v>
      </c>
      <c r="H40" s="198">
        <v>0</v>
      </c>
      <c r="I40" s="198">
        <v>0</v>
      </c>
      <c r="J40" s="198">
        <v>0</v>
      </c>
      <c r="K40" s="198">
        <v>0</v>
      </c>
      <c r="L40" s="198">
        <v>0</v>
      </c>
      <c r="M40" s="198">
        <v>0</v>
      </c>
      <c r="N40" s="198">
        <v>0</v>
      </c>
      <c r="O40" s="198">
        <v>0</v>
      </c>
      <c r="P40" s="198">
        <v>700000</v>
      </c>
      <c r="Q40" s="198">
        <v>0</v>
      </c>
      <c r="R40" s="198">
        <v>0</v>
      </c>
      <c r="S40" s="198">
        <v>0</v>
      </c>
      <c r="T40" s="198">
        <v>700000</v>
      </c>
      <c r="U40" s="199">
        <v>700000</v>
      </c>
      <c r="V40" s="199">
        <v>0</v>
      </c>
      <c r="W40" s="199" t="s">
        <v>206</v>
      </c>
      <c r="X40" s="203" t="s">
        <v>206</v>
      </c>
    </row>
    <row r="41" spans="1:24" x14ac:dyDescent="0.25">
      <c r="A41" s="114">
        <v>523401</v>
      </c>
      <c r="B41" s="196" t="s">
        <v>125</v>
      </c>
      <c r="C41" s="198">
        <v>2500</v>
      </c>
      <c r="D41" s="198">
        <v>0</v>
      </c>
      <c r="E41" s="198">
        <v>0</v>
      </c>
      <c r="F41" s="198">
        <v>0</v>
      </c>
      <c r="G41" s="198">
        <v>0</v>
      </c>
      <c r="H41" s="198">
        <v>0</v>
      </c>
      <c r="I41" s="198">
        <v>10000</v>
      </c>
      <c r="J41" s="198">
        <v>0</v>
      </c>
      <c r="K41" s="198">
        <v>0</v>
      </c>
      <c r="L41" s="198">
        <v>0</v>
      </c>
      <c r="M41" s="198">
        <v>0</v>
      </c>
      <c r="N41" s="198">
        <v>0</v>
      </c>
      <c r="O41" s="198">
        <v>0</v>
      </c>
      <c r="P41" s="198">
        <v>7000</v>
      </c>
      <c r="Q41" s="198">
        <v>0</v>
      </c>
      <c r="R41" s="198">
        <v>0</v>
      </c>
      <c r="S41" s="198">
        <v>5000</v>
      </c>
      <c r="T41" s="198">
        <v>24500</v>
      </c>
      <c r="U41" s="199">
        <v>13431</v>
      </c>
      <c r="V41" s="199">
        <v>11069</v>
      </c>
      <c r="W41" s="199">
        <v>0.82413818777455139</v>
      </c>
      <c r="X41" s="202">
        <v>0.82413818777455139</v>
      </c>
    </row>
    <row r="42" spans="1:24" x14ac:dyDescent="0.25">
      <c r="A42" s="114">
        <v>523501</v>
      </c>
      <c r="B42" s="196" t="s">
        <v>119</v>
      </c>
      <c r="C42" s="198">
        <v>10000</v>
      </c>
      <c r="D42" s="198">
        <v>25000</v>
      </c>
      <c r="E42" s="198">
        <v>9926</v>
      </c>
      <c r="F42" s="198">
        <v>7100</v>
      </c>
      <c r="G42" s="198">
        <v>22883</v>
      </c>
      <c r="H42" s="198">
        <v>11500</v>
      </c>
      <c r="I42" s="198">
        <v>68000</v>
      </c>
      <c r="J42" s="198">
        <v>6000</v>
      </c>
      <c r="K42" s="198">
        <v>12869</v>
      </c>
      <c r="L42" s="198">
        <v>182686</v>
      </c>
      <c r="M42" s="198">
        <v>50000</v>
      </c>
      <c r="N42" s="198">
        <v>18000</v>
      </c>
      <c r="O42" s="198">
        <v>5000</v>
      </c>
      <c r="P42" s="198">
        <v>22000</v>
      </c>
      <c r="Q42" s="198">
        <v>0</v>
      </c>
      <c r="R42" s="198">
        <v>18191</v>
      </c>
      <c r="S42" s="198">
        <v>5000</v>
      </c>
      <c r="T42" s="198">
        <v>474155</v>
      </c>
      <c r="U42" s="199">
        <v>449193</v>
      </c>
      <c r="V42" s="199">
        <v>24962</v>
      </c>
      <c r="W42" s="199">
        <v>5.5570768021763473E-2</v>
      </c>
      <c r="X42" s="202">
        <v>6.0023197155788272E-2</v>
      </c>
    </row>
    <row r="43" spans="1:24" x14ac:dyDescent="0.25">
      <c r="A43" s="114">
        <v>523601</v>
      </c>
      <c r="B43" s="196" t="s">
        <v>120</v>
      </c>
      <c r="C43" s="198">
        <v>6000</v>
      </c>
      <c r="D43" s="198">
        <v>68000</v>
      </c>
      <c r="E43" s="198">
        <v>8500</v>
      </c>
      <c r="F43" s="198">
        <v>58488</v>
      </c>
      <c r="G43" s="198">
        <v>63844</v>
      </c>
      <c r="H43" s="198">
        <v>5700</v>
      </c>
      <c r="I43" s="198">
        <v>26750</v>
      </c>
      <c r="J43" s="198">
        <v>5100</v>
      </c>
      <c r="K43" s="198">
        <v>15000</v>
      </c>
      <c r="L43" s="198">
        <v>15575</v>
      </c>
      <c r="M43" s="198">
        <v>16000</v>
      </c>
      <c r="N43" s="198">
        <v>10000</v>
      </c>
      <c r="O43" s="198">
        <v>6157</v>
      </c>
      <c r="P43" s="198">
        <v>25000</v>
      </c>
      <c r="Q43" s="198">
        <v>1500</v>
      </c>
      <c r="R43" s="198">
        <v>6011</v>
      </c>
      <c r="S43" s="198">
        <v>1500</v>
      </c>
      <c r="T43" s="198">
        <v>339125</v>
      </c>
      <c r="U43" s="199">
        <v>294162.25</v>
      </c>
      <c r="V43" s="199">
        <v>44962.75</v>
      </c>
      <c r="W43" s="200">
        <v>0.1528501702716783</v>
      </c>
      <c r="X43" s="201">
        <v>-4.9181191672282895E-2</v>
      </c>
    </row>
    <row r="44" spans="1:24" x14ac:dyDescent="0.25">
      <c r="A44" s="114">
        <v>523701</v>
      </c>
      <c r="B44" s="196" t="s">
        <v>121</v>
      </c>
      <c r="C44" s="198">
        <v>5000</v>
      </c>
      <c r="D44" s="198">
        <v>2628</v>
      </c>
      <c r="E44" s="198">
        <v>0</v>
      </c>
      <c r="F44" s="198">
        <v>2610</v>
      </c>
      <c r="G44" s="198">
        <v>39805</v>
      </c>
      <c r="H44" s="198">
        <v>68500</v>
      </c>
      <c r="I44" s="198">
        <v>75400</v>
      </c>
      <c r="J44" s="198">
        <v>16000</v>
      </c>
      <c r="K44" s="198">
        <v>10000</v>
      </c>
      <c r="L44" s="198">
        <v>214015</v>
      </c>
      <c r="M44" s="198">
        <v>15000</v>
      </c>
      <c r="N44" s="198">
        <v>15000</v>
      </c>
      <c r="O44" s="198">
        <v>10486</v>
      </c>
      <c r="P44" s="198">
        <v>11454</v>
      </c>
      <c r="Q44" s="198">
        <v>0</v>
      </c>
      <c r="R44" s="198">
        <v>55050</v>
      </c>
      <c r="S44" s="198">
        <v>3090</v>
      </c>
      <c r="T44" s="198">
        <v>544038</v>
      </c>
      <c r="U44" s="199">
        <v>432021</v>
      </c>
      <c r="V44" s="199">
        <v>112017</v>
      </c>
      <c r="W44" s="199">
        <v>0.25928600693021869</v>
      </c>
      <c r="X44" s="202">
        <v>0.26640371648600414</v>
      </c>
    </row>
    <row r="45" spans="1:24" x14ac:dyDescent="0.25">
      <c r="A45" s="114">
        <v>523801</v>
      </c>
      <c r="B45" s="196" t="s">
        <v>126</v>
      </c>
      <c r="C45" s="198">
        <v>650</v>
      </c>
      <c r="D45" s="198">
        <v>0</v>
      </c>
      <c r="E45" s="198">
        <v>0</v>
      </c>
      <c r="F45" s="198">
        <v>0</v>
      </c>
      <c r="G45" s="198">
        <v>0</v>
      </c>
      <c r="H45" s="198">
        <v>0</v>
      </c>
      <c r="I45" s="198">
        <v>100</v>
      </c>
      <c r="J45" s="198">
        <v>1055</v>
      </c>
      <c r="K45" s="198">
        <v>0</v>
      </c>
      <c r="L45" s="198">
        <v>18826</v>
      </c>
      <c r="M45" s="198">
        <v>300</v>
      </c>
      <c r="N45" s="198">
        <v>0</v>
      </c>
      <c r="O45" s="198">
        <v>667</v>
      </c>
      <c r="P45" s="198">
        <v>0</v>
      </c>
      <c r="Q45" s="198">
        <v>0</v>
      </c>
      <c r="R45" s="198">
        <v>0</v>
      </c>
      <c r="S45" s="198">
        <v>0</v>
      </c>
      <c r="T45" s="198">
        <v>21598</v>
      </c>
      <c r="U45" s="199">
        <v>19842</v>
      </c>
      <c r="V45" s="199">
        <v>1756</v>
      </c>
      <c r="W45" s="199">
        <v>8.8499143231529076E-2</v>
      </c>
      <c r="X45" s="202">
        <v>8.8499143231529076E-2</v>
      </c>
    </row>
    <row r="46" spans="1:24" x14ac:dyDescent="0.25">
      <c r="A46" s="114">
        <v>523851</v>
      </c>
      <c r="B46" s="196" t="s">
        <v>140</v>
      </c>
      <c r="C46" s="198">
        <v>0</v>
      </c>
      <c r="D46" s="198">
        <v>0</v>
      </c>
      <c r="E46" s="198">
        <v>0</v>
      </c>
      <c r="F46" s="198">
        <v>0</v>
      </c>
      <c r="G46" s="198">
        <v>17000000</v>
      </c>
      <c r="H46" s="198">
        <v>100000</v>
      </c>
      <c r="I46" s="198">
        <v>40000</v>
      </c>
      <c r="J46" s="198">
        <v>0</v>
      </c>
      <c r="K46" s="198">
        <v>0</v>
      </c>
      <c r="L46" s="198">
        <v>0</v>
      </c>
      <c r="M46" s="198">
        <v>0</v>
      </c>
      <c r="N46" s="198">
        <v>0</v>
      </c>
      <c r="O46" s="198">
        <v>0</v>
      </c>
      <c r="P46" s="198">
        <v>0</v>
      </c>
      <c r="Q46" s="198">
        <v>0</v>
      </c>
      <c r="R46" s="198">
        <v>0</v>
      </c>
      <c r="S46" s="198">
        <v>0</v>
      </c>
      <c r="T46" s="198">
        <v>17140000</v>
      </c>
      <c r="U46" s="199">
        <v>15467000</v>
      </c>
      <c r="V46" s="199">
        <v>1673000</v>
      </c>
      <c r="W46" s="199">
        <v>0.10816577228939031</v>
      </c>
      <c r="X46" s="202">
        <v>0.15342341759875866</v>
      </c>
    </row>
    <row r="47" spans="1:24" x14ac:dyDescent="0.25">
      <c r="A47" s="114">
        <v>523902</v>
      </c>
      <c r="B47" s="196" t="s">
        <v>167</v>
      </c>
      <c r="C47" s="198">
        <v>0</v>
      </c>
      <c r="D47" s="198">
        <v>0</v>
      </c>
      <c r="E47" s="198">
        <v>0</v>
      </c>
      <c r="F47" s="198">
        <v>0</v>
      </c>
      <c r="G47" s="198">
        <v>0</v>
      </c>
      <c r="H47" s="198">
        <v>0</v>
      </c>
      <c r="I47" s="198">
        <v>0</v>
      </c>
      <c r="J47" s="198">
        <v>0</v>
      </c>
      <c r="K47" s="198">
        <v>0</v>
      </c>
      <c r="L47" s="198">
        <v>0</v>
      </c>
      <c r="M47" s="198">
        <v>0</v>
      </c>
      <c r="N47" s="198">
        <v>0</v>
      </c>
      <c r="O47" s="198">
        <v>0</v>
      </c>
      <c r="P47" s="198">
        <v>0</v>
      </c>
      <c r="Q47" s="198">
        <v>0</v>
      </c>
      <c r="R47" s="198">
        <v>9800</v>
      </c>
      <c r="S47" s="198">
        <v>0</v>
      </c>
      <c r="T47" s="198">
        <v>9800</v>
      </c>
      <c r="U47" s="199">
        <v>9800</v>
      </c>
      <c r="V47" s="199">
        <v>0</v>
      </c>
      <c r="W47" s="199" t="s">
        <v>206</v>
      </c>
      <c r="X47" s="203" t="s">
        <v>206</v>
      </c>
    </row>
    <row r="48" spans="1:24" x14ac:dyDescent="0.25">
      <c r="A48" s="114">
        <v>531101</v>
      </c>
      <c r="B48" s="196" t="s">
        <v>122</v>
      </c>
      <c r="C48" s="198">
        <v>3500</v>
      </c>
      <c r="D48" s="198">
        <v>400</v>
      </c>
      <c r="E48" s="198">
        <v>2020</v>
      </c>
      <c r="F48" s="198">
        <v>300</v>
      </c>
      <c r="G48" s="198">
        <v>54436</v>
      </c>
      <c r="H48" s="198">
        <v>5000</v>
      </c>
      <c r="I48" s="198">
        <v>20200</v>
      </c>
      <c r="J48" s="198">
        <v>850</v>
      </c>
      <c r="K48" s="198">
        <v>42129</v>
      </c>
      <c r="L48" s="198">
        <v>23300</v>
      </c>
      <c r="M48" s="198">
        <v>20000</v>
      </c>
      <c r="N48" s="198">
        <v>4000</v>
      </c>
      <c r="O48" s="198">
        <v>2041</v>
      </c>
      <c r="P48" s="198">
        <v>5133</v>
      </c>
      <c r="Q48" s="198">
        <v>246000</v>
      </c>
      <c r="R48" s="198">
        <v>9854</v>
      </c>
      <c r="S48" s="198">
        <v>1105</v>
      </c>
      <c r="T48" s="198">
        <v>440268</v>
      </c>
      <c r="U48" s="199">
        <v>482742</v>
      </c>
      <c r="V48" s="199">
        <v>-42474</v>
      </c>
      <c r="W48" s="200">
        <v>-8.798488633680103E-2</v>
      </c>
      <c r="X48" s="201">
        <v>-9.1174996167725203E-2</v>
      </c>
    </row>
    <row r="49" spans="1:24" x14ac:dyDescent="0.25">
      <c r="A49" s="114">
        <v>531102</v>
      </c>
      <c r="B49" s="196" t="s">
        <v>152</v>
      </c>
      <c r="C49" s="198">
        <v>0</v>
      </c>
      <c r="D49" s="198">
        <v>0</v>
      </c>
      <c r="E49" s="198">
        <v>0</v>
      </c>
      <c r="F49" s="198">
        <v>0</v>
      </c>
      <c r="G49" s="198">
        <v>0</v>
      </c>
      <c r="H49" s="198">
        <v>0</v>
      </c>
      <c r="I49" s="198">
        <v>81700</v>
      </c>
      <c r="J49" s="198">
        <v>0</v>
      </c>
      <c r="K49" s="198">
        <v>0</v>
      </c>
      <c r="L49" s="198">
        <v>6202030</v>
      </c>
      <c r="M49" s="198">
        <v>0</v>
      </c>
      <c r="N49" s="198">
        <v>0</v>
      </c>
      <c r="O49" s="198">
        <v>0</v>
      </c>
      <c r="P49" s="198">
        <v>948</v>
      </c>
      <c r="Q49" s="198">
        <v>0</v>
      </c>
      <c r="R49" s="198">
        <v>204177</v>
      </c>
      <c r="S49" s="198">
        <v>0</v>
      </c>
      <c r="T49" s="198">
        <v>6488855</v>
      </c>
      <c r="U49" s="199">
        <v>7316541.0499999998</v>
      </c>
      <c r="V49" s="199">
        <v>-827686.05</v>
      </c>
      <c r="W49" s="200">
        <v>-0.11312532033152468</v>
      </c>
      <c r="X49" s="201">
        <v>-0.11312532033152468</v>
      </c>
    </row>
    <row r="50" spans="1:24" x14ac:dyDescent="0.25">
      <c r="A50" s="114">
        <v>531103</v>
      </c>
      <c r="B50" s="196" t="s">
        <v>155</v>
      </c>
      <c r="C50" s="198">
        <v>0</v>
      </c>
      <c r="D50" s="198">
        <v>0</v>
      </c>
      <c r="E50" s="198">
        <v>0</v>
      </c>
      <c r="F50" s="198">
        <v>0</v>
      </c>
      <c r="G50" s="198">
        <v>0</v>
      </c>
      <c r="H50" s="198">
        <v>0</v>
      </c>
      <c r="I50" s="198">
        <v>0</v>
      </c>
      <c r="J50" s="198">
        <v>0</v>
      </c>
      <c r="K50" s="198">
        <v>0</v>
      </c>
      <c r="L50" s="198">
        <v>2264000</v>
      </c>
      <c r="M50" s="198">
        <v>0</v>
      </c>
      <c r="N50" s="198">
        <v>0</v>
      </c>
      <c r="O50" s="198">
        <v>0</v>
      </c>
      <c r="P50" s="198">
        <v>0</v>
      </c>
      <c r="Q50" s="198">
        <v>0</v>
      </c>
      <c r="R50" s="198">
        <v>0</v>
      </c>
      <c r="S50" s="198">
        <v>0</v>
      </c>
      <c r="T50" s="198">
        <v>2264000</v>
      </c>
      <c r="U50" s="199">
        <v>2020000</v>
      </c>
      <c r="V50" s="199">
        <v>244000</v>
      </c>
      <c r="W50" s="199">
        <v>0.12079207920792079</v>
      </c>
      <c r="X50" s="202">
        <v>0.12079207920792079</v>
      </c>
    </row>
    <row r="51" spans="1:24" x14ac:dyDescent="0.25">
      <c r="A51" s="114">
        <v>531105</v>
      </c>
      <c r="B51" s="196" t="s">
        <v>123</v>
      </c>
      <c r="C51" s="198">
        <v>420</v>
      </c>
      <c r="D51" s="198">
        <v>60</v>
      </c>
      <c r="E51" s="198">
        <v>1257</v>
      </c>
      <c r="F51" s="198">
        <v>0</v>
      </c>
      <c r="G51" s="198">
        <v>375</v>
      </c>
      <c r="H51" s="198">
        <v>483</v>
      </c>
      <c r="I51" s="198">
        <v>2000</v>
      </c>
      <c r="J51" s="198">
        <v>0</v>
      </c>
      <c r="K51" s="198">
        <v>472</v>
      </c>
      <c r="L51" s="198">
        <v>400</v>
      </c>
      <c r="M51" s="198">
        <v>215</v>
      </c>
      <c r="N51" s="198">
        <v>0</v>
      </c>
      <c r="O51" s="198">
        <v>407</v>
      </c>
      <c r="P51" s="198">
        <v>250</v>
      </c>
      <c r="Q51" s="198">
        <v>0</v>
      </c>
      <c r="R51" s="198">
        <v>106</v>
      </c>
      <c r="S51" s="198">
        <v>200</v>
      </c>
      <c r="T51" s="198">
        <v>6645</v>
      </c>
      <c r="U51" s="199">
        <v>6735</v>
      </c>
      <c r="V51" s="199">
        <v>-90</v>
      </c>
      <c r="W51" s="200">
        <v>-1.3363028953229399E-2</v>
      </c>
      <c r="X51" s="201">
        <v>-1.3363028953229399E-2</v>
      </c>
    </row>
    <row r="52" spans="1:24" x14ac:dyDescent="0.25">
      <c r="A52" s="114">
        <v>531106</v>
      </c>
      <c r="B52" s="196" t="s">
        <v>179</v>
      </c>
      <c r="C52" s="198">
        <v>0</v>
      </c>
      <c r="D52" s="198">
        <v>0</v>
      </c>
      <c r="E52" s="198">
        <v>0</v>
      </c>
      <c r="F52" s="198">
        <v>0</v>
      </c>
      <c r="G52" s="198">
        <v>0</v>
      </c>
      <c r="H52" s="198">
        <v>0</v>
      </c>
      <c r="I52" s="198">
        <v>1888500</v>
      </c>
      <c r="J52" s="198">
        <v>0</v>
      </c>
      <c r="K52" s="198">
        <v>0</v>
      </c>
      <c r="L52" s="198">
        <v>0</v>
      </c>
      <c r="M52" s="198">
        <v>0</v>
      </c>
      <c r="N52" s="198">
        <v>0</v>
      </c>
      <c r="O52" s="198">
        <v>0</v>
      </c>
      <c r="P52" s="198">
        <v>0</v>
      </c>
      <c r="Q52" s="198">
        <v>0</v>
      </c>
      <c r="R52" s="198">
        <v>0</v>
      </c>
      <c r="S52" s="198">
        <v>0</v>
      </c>
      <c r="T52" s="198">
        <v>1888500</v>
      </c>
      <c r="U52" s="199">
        <v>1888500</v>
      </c>
      <c r="V52" s="199">
        <v>0</v>
      </c>
      <c r="W52" s="199" t="s">
        <v>206</v>
      </c>
      <c r="X52" s="203" t="s">
        <v>206</v>
      </c>
    </row>
    <row r="53" spans="1:24" x14ac:dyDescent="0.25">
      <c r="A53" s="114">
        <v>531107</v>
      </c>
      <c r="B53" s="196" t="s">
        <v>156</v>
      </c>
      <c r="C53" s="198">
        <v>0</v>
      </c>
      <c r="D53" s="198">
        <v>0</v>
      </c>
      <c r="E53" s="198">
        <v>0</v>
      </c>
      <c r="F53" s="198">
        <v>0</v>
      </c>
      <c r="G53" s="198">
        <v>0</v>
      </c>
      <c r="H53" s="198">
        <v>0</v>
      </c>
      <c r="I53" s="198">
        <v>0</v>
      </c>
      <c r="J53" s="198">
        <v>0</v>
      </c>
      <c r="K53" s="198">
        <v>0</v>
      </c>
      <c r="L53" s="198">
        <v>1760400</v>
      </c>
      <c r="M53" s="198">
        <v>0</v>
      </c>
      <c r="N53" s="198">
        <v>0</v>
      </c>
      <c r="O53" s="198">
        <v>0</v>
      </c>
      <c r="P53" s="198">
        <v>0</v>
      </c>
      <c r="Q53" s="198">
        <v>0</v>
      </c>
      <c r="R53" s="198">
        <v>0</v>
      </c>
      <c r="S53" s="198">
        <v>0</v>
      </c>
      <c r="T53" s="198">
        <v>1760400</v>
      </c>
      <c r="U53" s="199">
        <v>2250000</v>
      </c>
      <c r="V53" s="199">
        <v>-489600</v>
      </c>
      <c r="W53" s="200">
        <v>-0.21759999999999999</v>
      </c>
      <c r="X53" s="201">
        <v>-0.21759999999999999</v>
      </c>
    </row>
    <row r="54" spans="1:24" x14ac:dyDescent="0.25">
      <c r="A54" s="114">
        <v>531211</v>
      </c>
      <c r="B54" s="196" t="s">
        <v>157</v>
      </c>
      <c r="C54" s="198">
        <v>0</v>
      </c>
      <c r="D54" s="198">
        <v>0</v>
      </c>
      <c r="E54" s="198">
        <v>0</v>
      </c>
      <c r="F54" s="198">
        <v>0</v>
      </c>
      <c r="G54" s="198">
        <v>0</v>
      </c>
      <c r="H54" s="198">
        <v>0</v>
      </c>
      <c r="I54" s="198">
        <v>0</v>
      </c>
      <c r="J54" s="198">
        <v>0</v>
      </c>
      <c r="K54" s="198">
        <v>0</v>
      </c>
      <c r="L54" s="198">
        <v>1236000</v>
      </c>
      <c r="M54" s="198">
        <v>0</v>
      </c>
      <c r="N54" s="198">
        <v>0</v>
      </c>
      <c r="O54" s="198">
        <v>0</v>
      </c>
      <c r="P54" s="198">
        <v>0</v>
      </c>
      <c r="Q54" s="198">
        <v>0</v>
      </c>
      <c r="R54" s="198">
        <v>0</v>
      </c>
      <c r="S54" s="198">
        <v>0</v>
      </c>
      <c r="T54" s="198">
        <v>1236000</v>
      </c>
      <c r="U54" s="199">
        <v>1200000</v>
      </c>
      <c r="V54" s="199">
        <v>36000</v>
      </c>
      <c r="W54" s="199">
        <v>0.03</v>
      </c>
      <c r="X54" s="202">
        <v>0.03</v>
      </c>
    </row>
    <row r="55" spans="1:24" x14ac:dyDescent="0.25">
      <c r="A55" s="114">
        <v>531221</v>
      </c>
      <c r="B55" s="196" t="s">
        <v>158</v>
      </c>
      <c r="C55" s="198">
        <v>0</v>
      </c>
      <c r="D55" s="198">
        <v>0</v>
      </c>
      <c r="E55" s="198">
        <v>0</v>
      </c>
      <c r="F55" s="198">
        <v>0</v>
      </c>
      <c r="G55" s="198">
        <v>0</v>
      </c>
      <c r="H55" s="198">
        <v>0</v>
      </c>
      <c r="I55" s="198">
        <v>0</v>
      </c>
      <c r="J55" s="198">
        <v>0</v>
      </c>
      <c r="K55" s="198">
        <v>0</v>
      </c>
      <c r="L55" s="198">
        <v>75000</v>
      </c>
      <c r="M55" s="198">
        <v>0</v>
      </c>
      <c r="N55" s="198">
        <v>0</v>
      </c>
      <c r="O55" s="198">
        <v>0</v>
      </c>
      <c r="P55" s="198">
        <v>0</v>
      </c>
      <c r="Q55" s="198">
        <v>0</v>
      </c>
      <c r="R55" s="198">
        <v>0</v>
      </c>
      <c r="S55" s="198">
        <v>0</v>
      </c>
      <c r="T55" s="198">
        <v>75000</v>
      </c>
      <c r="U55" s="199">
        <v>72000</v>
      </c>
      <c r="V55" s="199">
        <v>3000</v>
      </c>
      <c r="W55" s="199">
        <v>4.1666666666666664E-2</v>
      </c>
      <c r="X55" s="202">
        <v>4.1666666666666664E-2</v>
      </c>
    </row>
    <row r="56" spans="1:24" x14ac:dyDescent="0.25">
      <c r="A56" s="114">
        <v>531231</v>
      </c>
      <c r="B56" s="196" t="s">
        <v>159</v>
      </c>
      <c r="C56" s="198">
        <v>0</v>
      </c>
      <c r="D56" s="198">
        <v>0</v>
      </c>
      <c r="E56" s="198">
        <v>0</v>
      </c>
      <c r="F56" s="198">
        <v>0</v>
      </c>
      <c r="G56" s="198">
        <v>0</v>
      </c>
      <c r="H56" s="198">
        <v>0</v>
      </c>
      <c r="I56" s="198">
        <v>0</v>
      </c>
      <c r="J56" s="198">
        <v>0</v>
      </c>
      <c r="K56" s="198">
        <v>0</v>
      </c>
      <c r="L56" s="198">
        <v>2987000</v>
      </c>
      <c r="M56" s="198">
        <v>0</v>
      </c>
      <c r="N56" s="198">
        <v>0</v>
      </c>
      <c r="O56" s="198">
        <v>0</v>
      </c>
      <c r="P56" s="198">
        <v>0</v>
      </c>
      <c r="Q56" s="198">
        <v>0</v>
      </c>
      <c r="R56" s="198">
        <v>0</v>
      </c>
      <c r="S56" s="198">
        <v>0</v>
      </c>
      <c r="T56" s="198">
        <v>2987000</v>
      </c>
      <c r="U56" s="199">
        <v>2900000</v>
      </c>
      <c r="V56" s="199">
        <v>87000</v>
      </c>
      <c r="W56" s="199">
        <v>0.03</v>
      </c>
      <c r="X56" s="202">
        <v>0.03</v>
      </c>
    </row>
    <row r="57" spans="1:24" x14ac:dyDescent="0.25">
      <c r="A57" s="114">
        <v>531261</v>
      </c>
      <c r="B57" s="196" t="s">
        <v>192</v>
      </c>
      <c r="C57" s="198">
        <v>0</v>
      </c>
      <c r="D57" s="198">
        <v>0</v>
      </c>
      <c r="E57" s="198">
        <v>0</v>
      </c>
      <c r="F57" s="198">
        <v>0</v>
      </c>
      <c r="G57" s="198">
        <v>0</v>
      </c>
      <c r="H57" s="198">
        <v>0</v>
      </c>
      <c r="I57" s="198">
        <v>0</v>
      </c>
      <c r="J57" s="198">
        <v>0</v>
      </c>
      <c r="K57" s="198">
        <v>0</v>
      </c>
      <c r="L57" s="198">
        <v>0</v>
      </c>
      <c r="M57" s="198">
        <v>0</v>
      </c>
      <c r="N57" s="198">
        <v>0</v>
      </c>
      <c r="O57" s="198">
        <v>667554</v>
      </c>
      <c r="P57" s="198">
        <v>0</v>
      </c>
      <c r="Q57" s="198">
        <v>0</v>
      </c>
      <c r="R57" s="198">
        <v>0</v>
      </c>
      <c r="S57" s="198">
        <v>0</v>
      </c>
      <c r="T57" s="198">
        <v>667554</v>
      </c>
      <c r="U57" s="199">
        <v>1332446</v>
      </c>
      <c r="V57" s="199">
        <v>-664892</v>
      </c>
      <c r="W57" s="200">
        <v>-0.49900108522221537</v>
      </c>
      <c r="X57" s="201">
        <v>-0.49900108522221537</v>
      </c>
    </row>
    <row r="58" spans="1:24" x14ac:dyDescent="0.25">
      <c r="A58" s="114">
        <v>531401</v>
      </c>
      <c r="B58" s="196" t="s">
        <v>141</v>
      </c>
      <c r="C58" s="198">
        <v>0</v>
      </c>
      <c r="D58" s="198">
        <v>0</v>
      </c>
      <c r="E58" s="198">
        <v>0</v>
      </c>
      <c r="F58" s="198">
        <v>0</v>
      </c>
      <c r="G58" s="198">
        <v>0</v>
      </c>
      <c r="H58" s="198">
        <v>0</v>
      </c>
      <c r="I58" s="198">
        <v>0</v>
      </c>
      <c r="J58" s="198">
        <v>250</v>
      </c>
      <c r="K58" s="198">
        <v>0</v>
      </c>
      <c r="L58" s="198">
        <v>0</v>
      </c>
      <c r="M58" s="198">
        <v>0</v>
      </c>
      <c r="N58" s="198">
        <v>0</v>
      </c>
      <c r="O58" s="198">
        <v>0</v>
      </c>
      <c r="P58" s="198">
        <v>0</v>
      </c>
      <c r="Q58" s="198">
        <v>0</v>
      </c>
      <c r="R58" s="198">
        <v>0</v>
      </c>
      <c r="S58" s="198">
        <v>0</v>
      </c>
      <c r="T58" s="198">
        <v>250</v>
      </c>
      <c r="U58" s="199">
        <v>250</v>
      </c>
      <c r="V58" s="199">
        <v>0</v>
      </c>
      <c r="W58" s="199" t="s">
        <v>206</v>
      </c>
      <c r="X58" s="203" t="s">
        <v>206</v>
      </c>
    </row>
    <row r="59" spans="1:24" x14ac:dyDescent="0.25">
      <c r="A59" s="114">
        <v>531501</v>
      </c>
      <c r="B59" s="196" t="s">
        <v>147</v>
      </c>
      <c r="C59" s="198">
        <v>0</v>
      </c>
      <c r="D59" s="198">
        <v>0</v>
      </c>
      <c r="E59" s="198">
        <v>0</v>
      </c>
      <c r="F59" s="198">
        <v>0</v>
      </c>
      <c r="G59" s="198">
        <v>1750367</v>
      </c>
      <c r="H59" s="198">
        <v>0</v>
      </c>
      <c r="I59" s="198">
        <v>0</v>
      </c>
      <c r="J59" s="198">
        <v>0</v>
      </c>
      <c r="K59" s="198">
        <v>0</v>
      </c>
      <c r="L59" s="198">
        <v>0</v>
      </c>
      <c r="M59" s="198">
        <v>0</v>
      </c>
      <c r="N59" s="198">
        <v>0</v>
      </c>
      <c r="O59" s="198">
        <v>0</v>
      </c>
      <c r="P59" s="198">
        <v>0</v>
      </c>
      <c r="Q59" s="198">
        <v>0</v>
      </c>
      <c r="R59" s="198">
        <v>0</v>
      </c>
      <c r="S59" s="198">
        <v>0</v>
      </c>
      <c r="T59" s="198">
        <v>1750367</v>
      </c>
      <c r="U59" s="199">
        <v>1750000</v>
      </c>
      <c r="V59" s="199">
        <v>367</v>
      </c>
      <c r="W59" s="199">
        <v>2.097142857142857E-4</v>
      </c>
      <c r="X59" s="202">
        <v>2.097142857142857E-4</v>
      </c>
    </row>
    <row r="60" spans="1:24" x14ac:dyDescent="0.25">
      <c r="A60" s="114">
        <v>531601</v>
      </c>
      <c r="B60" s="196" t="s">
        <v>160</v>
      </c>
      <c r="C60" s="198">
        <v>0</v>
      </c>
      <c r="D60" s="198">
        <v>0</v>
      </c>
      <c r="E60" s="198">
        <v>0</v>
      </c>
      <c r="F60" s="198">
        <v>0</v>
      </c>
      <c r="G60" s="198">
        <v>0</v>
      </c>
      <c r="H60" s="198">
        <v>0</v>
      </c>
      <c r="I60" s="198">
        <v>0</v>
      </c>
      <c r="J60" s="198">
        <v>0</v>
      </c>
      <c r="K60" s="198">
        <v>0</v>
      </c>
      <c r="L60" s="198">
        <v>336860</v>
      </c>
      <c r="M60" s="198">
        <v>0</v>
      </c>
      <c r="N60" s="198">
        <v>0</v>
      </c>
      <c r="O60" s="198">
        <v>0</v>
      </c>
      <c r="P60" s="198">
        <v>0</v>
      </c>
      <c r="Q60" s="198">
        <v>0</v>
      </c>
      <c r="R60" s="198">
        <v>395000</v>
      </c>
      <c r="S60" s="198">
        <v>0</v>
      </c>
      <c r="T60" s="198">
        <v>731860</v>
      </c>
      <c r="U60" s="199">
        <v>437802</v>
      </c>
      <c r="V60" s="199">
        <v>294058</v>
      </c>
      <c r="W60" s="199">
        <v>0.67166892796286903</v>
      </c>
      <c r="X60" s="202">
        <v>0.67166892796286903</v>
      </c>
    </row>
    <row r="61" spans="1:24" x14ac:dyDescent="0.25">
      <c r="A61" s="114">
        <v>531611</v>
      </c>
      <c r="B61" s="196" t="s">
        <v>184</v>
      </c>
      <c r="C61" s="198">
        <v>0</v>
      </c>
      <c r="D61" s="198">
        <v>0</v>
      </c>
      <c r="E61" s="198">
        <v>0</v>
      </c>
      <c r="F61" s="198">
        <v>0</v>
      </c>
      <c r="G61" s="198">
        <v>0</v>
      </c>
      <c r="H61" s="198">
        <v>0</v>
      </c>
      <c r="I61" s="198">
        <v>0</v>
      </c>
      <c r="J61" s="198">
        <v>0</v>
      </c>
      <c r="K61" s="198">
        <v>0</v>
      </c>
      <c r="L61" s="198">
        <v>1397000</v>
      </c>
      <c r="M61" s="198">
        <v>0</v>
      </c>
      <c r="N61" s="198">
        <v>0</v>
      </c>
      <c r="O61" s="198">
        <v>0</v>
      </c>
      <c r="P61" s="198">
        <v>0</v>
      </c>
      <c r="Q61" s="198">
        <v>0</v>
      </c>
      <c r="R61" s="198">
        <v>0</v>
      </c>
      <c r="S61" s="198">
        <v>0</v>
      </c>
      <c r="T61" s="198">
        <v>1397000</v>
      </c>
      <c r="U61" s="199">
        <v>1185100</v>
      </c>
      <c r="V61" s="199">
        <v>211900</v>
      </c>
      <c r="W61" s="199">
        <v>0.17880347649987344</v>
      </c>
      <c r="X61" s="202">
        <v>0.17880347649987344</v>
      </c>
    </row>
    <row r="62" spans="1:24" x14ac:dyDescent="0.25">
      <c r="A62" s="114">
        <v>531621</v>
      </c>
      <c r="B62" s="196" t="s">
        <v>185</v>
      </c>
      <c r="C62" s="198">
        <v>0</v>
      </c>
      <c r="D62" s="198">
        <v>0</v>
      </c>
      <c r="E62" s="198">
        <v>0</v>
      </c>
      <c r="F62" s="198">
        <v>0</v>
      </c>
      <c r="G62" s="198">
        <v>0</v>
      </c>
      <c r="H62" s="198">
        <v>0</v>
      </c>
      <c r="I62" s="198">
        <v>0</v>
      </c>
      <c r="J62" s="198">
        <v>0</v>
      </c>
      <c r="K62" s="198">
        <v>0</v>
      </c>
      <c r="L62" s="198">
        <v>10053000</v>
      </c>
      <c r="M62" s="198">
        <v>0</v>
      </c>
      <c r="N62" s="198">
        <v>0</v>
      </c>
      <c r="O62" s="198">
        <v>0</v>
      </c>
      <c r="P62" s="198">
        <v>0</v>
      </c>
      <c r="Q62" s="198">
        <v>0</v>
      </c>
      <c r="R62" s="198">
        <v>0</v>
      </c>
      <c r="S62" s="198">
        <v>0</v>
      </c>
      <c r="T62" s="198">
        <v>10053000</v>
      </c>
      <c r="U62" s="199">
        <v>7426000</v>
      </c>
      <c r="V62" s="199">
        <v>2627000</v>
      </c>
      <c r="W62" s="199">
        <v>0.35375706975491517</v>
      </c>
      <c r="X62" s="202">
        <v>0.35375706975491517</v>
      </c>
    </row>
    <row r="63" spans="1:24" x14ac:dyDescent="0.25">
      <c r="A63" s="114">
        <v>531641</v>
      </c>
      <c r="B63" s="196" t="s">
        <v>180</v>
      </c>
      <c r="C63" s="198">
        <v>0</v>
      </c>
      <c r="D63" s="198">
        <v>0</v>
      </c>
      <c r="E63" s="198">
        <v>0</v>
      </c>
      <c r="F63" s="198">
        <v>0</v>
      </c>
      <c r="G63" s="198">
        <v>0</v>
      </c>
      <c r="H63" s="198">
        <v>0</v>
      </c>
      <c r="I63" s="198">
        <v>29506500</v>
      </c>
      <c r="J63" s="198">
        <v>0</v>
      </c>
      <c r="K63" s="198">
        <v>0</v>
      </c>
      <c r="L63" s="198">
        <v>0</v>
      </c>
      <c r="M63" s="198">
        <v>0</v>
      </c>
      <c r="N63" s="198">
        <v>0</v>
      </c>
      <c r="O63" s="198">
        <v>0</v>
      </c>
      <c r="P63" s="198">
        <v>0</v>
      </c>
      <c r="Q63" s="198">
        <v>0</v>
      </c>
      <c r="R63" s="198">
        <v>0</v>
      </c>
      <c r="S63" s="198">
        <v>0</v>
      </c>
      <c r="T63" s="198">
        <v>29506500</v>
      </c>
      <c r="U63" s="199">
        <v>27436500</v>
      </c>
      <c r="V63" s="199">
        <v>2070000</v>
      </c>
      <c r="W63" s="199">
        <v>7.5446941118582911E-2</v>
      </c>
      <c r="X63" s="202">
        <v>7.5446941118582911E-2</v>
      </c>
    </row>
    <row r="64" spans="1:24" x14ac:dyDescent="0.25">
      <c r="A64" s="114">
        <v>531651</v>
      </c>
      <c r="B64" s="196" t="s">
        <v>153</v>
      </c>
      <c r="C64" s="198">
        <v>0</v>
      </c>
      <c r="D64" s="198">
        <v>0</v>
      </c>
      <c r="E64" s="198">
        <v>0</v>
      </c>
      <c r="F64" s="198">
        <v>0</v>
      </c>
      <c r="G64" s="198">
        <v>0</v>
      </c>
      <c r="H64" s="198">
        <v>0</v>
      </c>
      <c r="I64" s="198">
        <v>41320471</v>
      </c>
      <c r="J64" s="198">
        <v>0</v>
      </c>
      <c r="K64" s="198">
        <v>80000</v>
      </c>
      <c r="L64" s="198">
        <v>191575</v>
      </c>
      <c r="M64" s="198">
        <v>0</v>
      </c>
      <c r="N64" s="198">
        <v>0</v>
      </c>
      <c r="O64" s="198">
        <v>0</v>
      </c>
      <c r="P64" s="198">
        <v>0</v>
      </c>
      <c r="Q64" s="198">
        <v>0</v>
      </c>
      <c r="R64" s="198">
        <v>0</v>
      </c>
      <c r="S64" s="198">
        <v>0</v>
      </c>
      <c r="T64" s="198">
        <v>41592046</v>
      </c>
      <c r="U64" s="199">
        <v>47472830.990000002</v>
      </c>
      <c r="V64" s="199">
        <v>-5880784.9900000002</v>
      </c>
      <c r="W64" s="200">
        <v>-0.12387685476854685</v>
      </c>
      <c r="X64" s="201">
        <v>-9.9094364121468631E-2</v>
      </c>
    </row>
    <row r="65" spans="1:24" x14ac:dyDescent="0.25">
      <c r="A65" s="114">
        <v>531701</v>
      </c>
      <c r="B65" s="196" t="s">
        <v>148</v>
      </c>
      <c r="C65" s="198">
        <v>0</v>
      </c>
      <c r="D65" s="198">
        <v>0</v>
      </c>
      <c r="E65" s="198">
        <v>0</v>
      </c>
      <c r="F65" s="198">
        <v>0</v>
      </c>
      <c r="G65" s="198">
        <v>42650</v>
      </c>
      <c r="H65" s="198">
        <v>0</v>
      </c>
      <c r="I65" s="198">
        <v>0</v>
      </c>
      <c r="J65" s="198">
        <v>0</v>
      </c>
      <c r="K65" s="198">
        <v>0</v>
      </c>
      <c r="L65" s="198">
        <v>309000</v>
      </c>
      <c r="M65" s="198">
        <v>0</v>
      </c>
      <c r="N65" s="198">
        <v>0</v>
      </c>
      <c r="O65" s="198">
        <v>0</v>
      </c>
      <c r="P65" s="198">
        <v>0</v>
      </c>
      <c r="Q65" s="198">
        <v>0</v>
      </c>
      <c r="R65" s="198">
        <v>174596</v>
      </c>
      <c r="S65" s="198">
        <v>0</v>
      </c>
      <c r="T65" s="198">
        <v>526246</v>
      </c>
      <c r="U65" s="199">
        <v>454458</v>
      </c>
      <c r="V65" s="199">
        <v>71788</v>
      </c>
      <c r="W65" s="199">
        <v>0.15796399227211316</v>
      </c>
      <c r="X65" s="202">
        <v>0.15796399227211316</v>
      </c>
    </row>
    <row r="66" spans="1:24" x14ac:dyDescent="0.25">
      <c r="A66" s="114">
        <v>541302</v>
      </c>
      <c r="B66" s="196" t="s">
        <v>186</v>
      </c>
      <c r="C66" s="198">
        <v>0</v>
      </c>
      <c r="D66" s="198">
        <v>0</v>
      </c>
      <c r="E66" s="198">
        <v>0</v>
      </c>
      <c r="F66" s="198">
        <v>0</v>
      </c>
      <c r="G66" s="198">
        <v>0</v>
      </c>
      <c r="H66" s="198">
        <v>0</v>
      </c>
      <c r="I66" s="198">
        <v>0</v>
      </c>
      <c r="J66" s="198">
        <v>0</v>
      </c>
      <c r="K66" s="198">
        <v>0</v>
      </c>
      <c r="L66" s="198">
        <v>16607000</v>
      </c>
      <c r="M66" s="198">
        <v>0</v>
      </c>
      <c r="N66" s="198">
        <v>0</v>
      </c>
      <c r="O66" s="198">
        <v>0</v>
      </c>
      <c r="P66" s="198">
        <v>0</v>
      </c>
      <c r="Q66" s="198">
        <v>0</v>
      </c>
      <c r="R66" s="198">
        <v>0</v>
      </c>
      <c r="S66" s="198">
        <v>0</v>
      </c>
      <c r="T66" s="198">
        <v>16607000</v>
      </c>
      <c r="U66" s="199">
        <v>10547000</v>
      </c>
      <c r="V66" s="199">
        <v>6060000</v>
      </c>
      <c r="W66" s="199">
        <v>0.57457096804778607</v>
      </c>
      <c r="X66" s="202">
        <v>0.57457096804778607</v>
      </c>
    </row>
    <row r="67" spans="1:24" x14ac:dyDescent="0.25">
      <c r="A67" s="114">
        <v>541401</v>
      </c>
      <c r="B67" s="196" t="s">
        <v>181</v>
      </c>
      <c r="C67" s="198">
        <v>0</v>
      </c>
      <c r="D67" s="198">
        <v>0</v>
      </c>
      <c r="E67" s="198">
        <v>0</v>
      </c>
      <c r="F67" s="198">
        <v>0</v>
      </c>
      <c r="G67" s="198">
        <v>0</v>
      </c>
      <c r="H67" s="198">
        <v>0</v>
      </c>
      <c r="I67" s="198">
        <v>4500000</v>
      </c>
      <c r="J67" s="198">
        <v>0</v>
      </c>
      <c r="K67" s="198">
        <v>0</v>
      </c>
      <c r="L67" s="198">
        <v>0</v>
      </c>
      <c r="M67" s="198">
        <v>0</v>
      </c>
      <c r="N67" s="198">
        <v>0</v>
      </c>
      <c r="O67" s="198">
        <v>253007959</v>
      </c>
      <c r="P67" s="198">
        <v>0</v>
      </c>
      <c r="Q67" s="198">
        <v>0</v>
      </c>
      <c r="R67" s="198">
        <v>17896000</v>
      </c>
      <c r="S67" s="198">
        <v>0</v>
      </c>
      <c r="T67" s="198">
        <v>275403959</v>
      </c>
      <c r="U67" s="199">
        <v>250257062</v>
      </c>
      <c r="V67" s="199">
        <v>25146897</v>
      </c>
      <c r="W67" s="199">
        <v>0.10048426525521985</v>
      </c>
      <c r="X67" s="202">
        <v>0.10048426525521985</v>
      </c>
    </row>
    <row r="68" spans="1:24" x14ac:dyDescent="0.25">
      <c r="A68" s="114">
        <v>541402</v>
      </c>
      <c r="B68" s="196" t="s">
        <v>193</v>
      </c>
      <c r="C68" s="198">
        <v>0</v>
      </c>
      <c r="D68" s="198">
        <v>0</v>
      </c>
      <c r="E68" s="198">
        <v>0</v>
      </c>
      <c r="F68" s="198">
        <v>0</v>
      </c>
      <c r="G68" s="198">
        <v>0</v>
      </c>
      <c r="H68" s="198">
        <v>0</v>
      </c>
      <c r="I68" s="198">
        <v>0</v>
      </c>
      <c r="J68" s="198">
        <v>0</v>
      </c>
      <c r="K68" s="198">
        <v>0</v>
      </c>
      <c r="L68" s="198">
        <v>0</v>
      </c>
      <c r="M68" s="198">
        <v>0</v>
      </c>
      <c r="N68" s="198">
        <v>0</v>
      </c>
      <c r="O68" s="198">
        <v>1975543</v>
      </c>
      <c r="P68" s="198">
        <v>0</v>
      </c>
      <c r="Q68" s="198">
        <v>0</v>
      </c>
      <c r="R68" s="198">
        <v>0</v>
      </c>
      <c r="S68" s="198">
        <v>0</v>
      </c>
      <c r="T68" s="198">
        <v>1975543</v>
      </c>
      <c r="U68" s="199">
        <v>392783</v>
      </c>
      <c r="V68" s="199">
        <v>1582760</v>
      </c>
      <c r="W68" s="199">
        <v>4.0296041325617455</v>
      </c>
      <c r="X68" s="202">
        <v>4.0296041325617455</v>
      </c>
    </row>
    <row r="69" spans="1:24" x14ac:dyDescent="0.25">
      <c r="A69" s="114">
        <v>541403</v>
      </c>
      <c r="B69" s="196" t="s">
        <v>182</v>
      </c>
      <c r="C69" s="198">
        <v>0</v>
      </c>
      <c r="D69" s="198">
        <v>0</v>
      </c>
      <c r="E69" s="198">
        <v>0</v>
      </c>
      <c r="F69" s="198">
        <v>0</v>
      </c>
      <c r="G69" s="198">
        <v>0</v>
      </c>
      <c r="H69" s="198">
        <v>0</v>
      </c>
      <c r="I69" s="198">
        <v>175000</v>
      </c>
      <c r="J69" s="198">
        <v>0</v>
      </c>
      <c r="K69" s="198">
        <v>0</v>
      </c>
      <c r="L69" s="198">
        <v>0</v>
      </c>
      <c r="M69" s="198">
        <v>0</v>
      </c>
      <c r="N69" s="198">
        <v>0</v>
      </c>
      <c r="O69" s="198">
        <v>0</v>
      </c>
      <c r="P69" s="198">
        <v>0</v>
      </c>
      <c r="Q69" s="198">
        <v>0</v>
      </c>
      <c r="R69" s="198">
        <v>0</v>
      </c>
      <c r="S69" s="198">
        <v>0</v>
      </c>
      <c r="T69" s="198">
        <v>175000</v>
      </c>
      <c r="U69" s="199">
        <v>175000</v>
      </c>
      <c r="V69" s="199">
        <v>0</v>
      </c>
      <c r="W69" s="199" t="s">
        <v>206</v>
      </c>
      <c r="X69" s="203" t="s">
        <v>206</v>
      </c>
    </row>
    <row r="70" spans="1:24" x14ac:dyDescent="0.25">
      <c r="A70" s="114">
        <v>551101</v>
      </c>
      <c r="B70" s="196" t="s">
        <v>211</v>
      </c>
      <c r="C70" s="198">
        <v>0</v>
      </c>
      <c r="D70" s="198">
        <v>0</v>
      </c>
      <c r="E70" s="198">
        <v>0</v>
      </c>
      <c r="F70" s="198">
        <v>0</v>
      </c>
      <c r="G70" s="198">
        <v>0</v>
      </c>
      <c r="H70" s="198">
        <v>0</v>
      </c>
      <c r="I70" s="198">
        <v>0</v>
      </c>
      <c r="J70" s="198">
        <v>0</v>
      </c>
      <c r="K70" s="198">
        <v>0</v>
      </c>
      <c r="L70" s="198">
        <v>0</v>
      </c>
      <c r="M70" s="198">
        <v>0</v>
      </c>
      <c r="N70" s="198">
        <v>0</v>
      </c>
      <c r="O70" s="198">
        <v>0</v>
      </c>
      <c r="P70" s="198">
        <v>0</v>
      </c>
      <c r="Q70" s="198">
        <v>0</v>
      </c>
      <c r="R70" s="198">
        <v>0</v>
      </c>
      <c r="S70" s="198">
        <v>0</v>
      </c>
      <c r="T70" s="198">
        <v>0</v>
      </c>
      <c r="U70" s="199">
        <v>0</v>
      </c>
      <c r="V70" s="199">
        <v>0</v>
      </c>
      <c r="W70" s="199">
        <v>1</v>
      </c>
      <c r="X70" s="202">
        <v>1</v>
      </c>
    </row>
    <row r="71" spans="1:24" x14ac:dyDescent="0.25">
      <c r="A71" s="114">
        <v>573001</v>
      </c>
      <c r="B71" s="196" t="s">
        <v>131</v>
      </c>
      <c r="C71" s="198">
        <v>0</v>
      </c>
      <c r="D71" s="198">
        <v>0</v>
      </c>
      <c r="E71" s="198">
        <v>0</v>
      </c>
      <c r="F71" s="198">
        <v>0</v>
      </c>
      <c r="G71" s="198">
        <v>330934</v>
      </c>
      <c r="H71" s="198">
        <v>0</v>
      </c>
      <c r="I71" s="198">
        <v>0</v>
      </c>
      <c r="J71" s="198">
        <v>0</v>
      </c>
      <c r="K71" s="198">
        <v>0</v>
      </c>
      <c r="L71" s="198">
        <v>0</v>
      </c>
      <c r="M71" s="198">
        <v>0</v>
      </c>
      <c r="N71" s="198">
        <v>0</v>
      </c>
      <c r="O71" s="198">
        <v>0</v>
      </c>
      <c r="P71" s="198">
        <v>0</v>
      </c>
      <c r="Q71" s="198">
        <v>0</v>
      </c>
      <c r="R71" s="198">
        <v>0</v>
      </c>
      <c r="S71" s="198">
        <v>17000</v>
      </c>
      <c r="T71" s="198">
        <v>347934</v>
      </c>
      <c r="U71" s="199">
        <v>417000</v>
      </c>
      <c r="V71" s="199">
        <v>-69066</v>
      </c>
      <c r="W71" s="200">
        <v>-0.16562589928057553</v>
      </c>
      <c r="X71" s="201">
        <v>-0.16562589928057553</v>
      </c>
    </row>
    <row r="72" spans="1:24" x14ac:dyDescent="0.25">
      <c r="A72" s="114">
        <v>573002</v>
      </c>
      <c r="B72" s="196" t="s">
        <v>149</v>
      </c>
      <c r="C72" s="198">
        <v>0</v>
      </c>
      <c r="D72" s="198">
        <v>0</v>
      </c>
      <c r="E72" s="198">
        <v>0</v>
      </c>
      <c r="F72" s="198">
        <v>0</v>
      </c>
      <c r="G72" s="198">
        <v>50000000</v>
      </c>
      <c r="H72" s="198">
        <v>0</v>
      </c>
      <c r="I72" s="198">
        <v>0</v>
      </c>
      <c r="J72" s="198">
        <v>0</v>
      </c>
      <c r="K72" s="198">
        <v>0</v>
      </c>
      <c r="L72" s="198">
        <v>0</v>
      </c>
      <c r="M72" s="198">
        <v>0</v>
      </c>
      <c r="N72" s="198">
        <v>0</v>
      </c>
      <c r="O72" s="198">
        <v>0</v>
      </c>
      <c r="P72" s="198">
        <v>0</v>
      </c>
      <c r="Q72" s="198">
        <v>0</v>
      </c>
      <c r="R72" s="198">
        <v>0</v>
      </c>
      <c r="S72" s="198">
        <v>0</v>
      </c>
      <c r="T72" s="198">
        <v>50000000</v>
      </c>
      <c r="U72" s="199">
        <v>41500000</v>
      </c>
      <c r="V72" s="199">
        <v>8500000</v>
      </c>
      <c r="W72" s="199">
        <v>0.20481927710843373</v>
      </c>
      <c r="X72" s="202">
        <v>0.36144578313253012</v>
      </c>
    </row>
    <row r="73" spans="1:24" ht="15.75" thickBot="1" x14ac:dyDescent="0.3">
      <c r="B73" s="197" t="s">
        <v>13</v>
      </c>
      <c r="C73" s="204">
        <v>2264017.3878959999</v>
      </c>
      <c r="D73" s="204">
        <v>834625.17572299996</v>
      </c>
      <c r="E73" s="204">
        <v>105621</v>
      </c>
      <c r="F73" s="204">
        <v>902064.84445800004</v>
      </c>
      <c r="G73" s="204">
        <v>122472909.88148101</v>
      </c>
      <c r="H73" s="204">
        <v>3113027.5792319998</v>
      </c>
      <c r="I73" s="204">
        <v>137017100.99768901</v>
      </c>
      <c r="J73" s="204">
        <v>1403645.4394129999</v>
      </c>
      <c r="K73" s="204">
        <v>5456302.6744480003</v>
      </c>
      <c r="L73" s="204">
        <v>100460742.40892</v>
      </c>
      <c r="M73" s="204">
        <v>4126641.3523519998</v>
      </c>
      <c r="N73" s="204">
        <v>1399393.386525</v>
      </c>
      <c r="O73" s="204">
        <v>320729414.06291598</v>
      </c>
      <c r="P73" s="204">
        <v>9593401.8398230001</v>
      </c>
      <c r="Q73" s="204">
        <v>5199632</v>
      </c>
      <c r="R73" s="204">
        <v>55744163.048851997</v>
      </c>
      <c r="S73" s="204">
        <v>2933033.52</v>
      </c>
      <c r="T73" s="204">
        <v>773755736</v>
      </c>
      <c r="U73" s="204">
        <v>731890271.00323701</v>
      </c>
      <c r="V73" s="204">
        <v>41865465.596491002</v>
      </c>
      <c r="W73" s="204">
        <v>5.7201833738142201E-2</v>
      </c>
      <c r="X73" s="205">
        <v>8.0897780025592295E-2</v>
      </c>
    </row>
    <row r="74" spans="1:24" ht="15.75" thickTop="1" x14ac:dyDescent="0.25">
      <c r="B74" s="123" t="s">
        <v>197</v>
      </c>
      <c r="C74" s="124" t="s">
        <v>197</v>
      </c>
      <c r="D74" s="124" t="s">
        <v>197</v>
      </c>
      <c r="E74" s="124" t="s">
        <v>197</v>
      </c>
      <c r="F74" s="124" t="s">
        <v>197</v>
      </c>
      <c r="G74" s="124" t="s">
        <v>197</v>
      </c>
      <c r="H74" s="124" t="s">
        <v>197</v>
      </c>
      <c r="I74" s="124" t="s">
        <v>197</v>
      </c>
      <c r="J74" s="124" t="s">
        <v>197</v>
      </c>
      <c r="K74" s="124" t="s">
        <v>197</v>
      </c>
      <c r="L74" s="124" t="s">
        <v>197</v>
      </c>
      <c r="M74" s="124" t="s">
        <v>197</v>
      </c>
      <c r="N74" s="124" t="s">
        <v>197</v>
      </c>
      <c r="O74" s="124" t="s">
        <v>197</v>
      </c>
      <c r="P74" s="124" t="s">
        <v>197</v>
      </c>
      <c r="Q74" s="124" t="s">
        <v>197</v>
      </c>
      <c r="R74" s="124" t="s">
        <v>197</v>
      </c>
      <c r="S74" s="124" t="s">
        <v>197</v>
      </c>
      <c r="T74" s="214" t="s">
        <v>197</v>
      </c>
      <c r="U74" s="214"/>
      <c r="V74" s="126"/>
      <c r="W74" s="125" t="s">
        <v>197</v>
      </c>
    </row>
    <row r="75" spans="1:24" ht="15" customHeight="1" x14ac:dyDescent="0.25">
      <c r="T75" s="117"/>
    </row>
  </sheetData>
  <autoFilter ref="A2:W74" xr:uid="{00000000-0001-0000-0000-000000000000}"/>
  <mergeCells count="1">
    <mergeCell ref="T74:U74"/>
  </mergeCells>
  <pageMargins left="0.25" right="0.25" top="0.25" bottom="0.53125" header="0.25" footer="0.25"/>
  <pageSetup orientation="portrait" horizontalDpi="300" verticalDpi="300"/>
  <headerFooter alignWithMargins="0">
    <oddFooter>&amp;L&amp;"Segoe UI,Regular"&amp;8 Jul 24, 2024 06:03 PM 
&amp;"-,Italic"All Funds Budget by Account 
&amp;"-,Regular"Page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688F9-9A12-4D61-87F5-8C087E17D0F1}">
  <sheetPr codeName="Sheet17"/>
  <dimension ref="A1:Z101"/>
  <sheetViews>
    <sheetView showGridLines="0" zoomScaleNormal="100" workbookViewId="0">
      <pane xSplit="3" ySplit="10" topLeftCell="F58" activePane="bottomRight" state="frozen"/>
      <selection pane="topRight" activeCell="C1" sqref="C1"/>
      <selection pane="bottomLeft" activeCell="A11" sqref="A11"/>
      <selection pane="bottomRight" activeCell="N67" sqref="N67"/>
    </sheetView>
  </sheetViews>
  <sheetFormatPr defaultColWidth="9.140625" defaultRowHeight="12.75" outlineLevelRow="1" outlineLevelCol="1" x14ac:dyDescent="0.2"/>
  <cols>
    <col min="1" max="1" width="9.140625" style="3" hidden="1" customWidth="1"/>
    <col min="2" max="2" width="9.140625" style="3" customWidth="1"/>
    <col min="3" max="3" width="37.140625" style="3" customWidth="1"/>
    <col min="4" max="5" width="14.42578125" style="3" customWidth="1" outlineLevel="1"/>
    <col min="6" max="6" width="12" style="3" customWidth="1" outlineLevel="1"/>
    <col min="7" max="7" width="11.28515625" style="3" customWidth="1" outlineLevel="1"/>
    <col min="8" max="8" width="12.140625" style="3" customWidth="1" outlineLevel="1"/>
    <col min="9" max="9" width="12.42578125" style="3" customWidth="1" outlineLevel="1"/>
    <col min="10" max="10" width="14.85546875" style="3" customWidth="1" outlineLevel="1"/>
    <col min="11" max="11" width="13.28515625" style="3" customWidth="1" outlineLevel="1"/>
    <col min="12" max="12" width="13.85546875" style="3" customWidth="1" outlineLevel="1"/>
    <col min="13" max="13" width="13.28515625" style="3" customWidth="1"/>
    <col min="14" max="14" width="15.42578125" style="3" customWidth="1" outlineLevel="1"/>
    <col min="15" max="15" width="13.42578125" style="3" customWidth="1" outlineLevel="1" collapsed="1"/>
    <col min="16" max="16" width="14.85546875" style="3" customWidth="1" outlineLevel="1"/>
    <col min="17" max="18" width="13.28515625" style="3" customWidth="1" outlineLevel="1"/>
    <col min="19" max="19" width="12.28515625" style="3" customWidth="1" outlineLevel="1"/>
    <col min="20" max="20" width="13.28515625" style="3" bestFit="1" customWidth="1"/>
    <col min="21" max="22" width="14.85546875" style="3" bestFit="1" customWidth="1"/>
    <col min="23" max="23" width="14" style="3" bestFit="1" customWidth="1"/>
    <col min="24" max="24" width="2.7109375" style="3" customWidth="1"/>
    <col min="25" max="25" width="12.28515625" style="3" customWidth="1"/>
    <col min="26" max="26" width="13" style="4" customWidth="1"/>
    <col min="27" max="16384" width="9.140625" style="3"/>
  </cols>
  <sheetData>
    <row r="1" spans="1:26" x14ac:dyDescent="0.2">
      <c r="Y1" s="4"/>
      <c r="Z1" s="3"/>
    </row>
    <row r="2" spans="1:26" x14ac:dyDescent="0.2"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  <c r="W2" s="48"/>
      <c r="X2" s="48"/>
      <c r="Y2" s="4"/>
      <c r="Z2" s="3"/>
    </row>
    <row r="3" spans="1:26" x14ac:dyDescent="0.2"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"/>
      <c r="Z3" s="3"/>
    </row>
    <row r="4" spans="1:26" x14ac:dyDescent="0.2"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8"/>
      <c r="U4" s="48"/>
      <c r="V4" s="48"/>
      <c r="W4" s="48"/>
      <c r="X4" s="48"/>
      <c r="Y4" s="4"/>
      <c r="Z4" s="3"/>
    </row>
    <row r="5" spans="1:26" x14ac:dyDescent="0.2"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"/>
      <c r="Z5" s="3"/>
    </row>
    <row r="6" spans="1:26" x14ac:dyDescent="0.2"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"/>
      <c r="Z6" s="3"/>
    </row>
    <row r="7" spans="1:26" x14ac:dyDescent="0.2"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"/>
      <c r="Z7" s="6"/>
    </row>
    <row r="8" spans="1:26" ht="12.75" customHeight="1" x14ac:dyDescent="0.2"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46"/>
      <c r="U8" s="8"/>
      <c r="V8" s="8"/>
      <c r="W8" s="8"/>
      <c r="X8" s="8"/>
      <c r="Y8" s="4"/>
      <c r="Z8" s="3"/>
    </row>
    <row r="9" spans="1:26" ht="30" customHeight="1" x14ac:dyDescent="0.2">
      <c r="C9" s="4"/>
      <c r="D9" s="45"/>
      <c r="E9" s="45"/>
      <c r="F9" s="45"/>
      <c r="G9" s="4"/>
      <c r="H9" s="44"/>
      <c r="I9" s="44"/>
      <c r="J9" s="44"/>
      <c r="K9" s="4"/>
      <c r="L9" s="4"/>
      <c r="M9" s="44"/>
      <c r="N9" s="4"/>
      <c r="O9" s="44"/>
      <c r="P9" s="44"/>
      <c r="Q9" s="4"/>
      <c r="R9" s="44"/>
      <c r="S9" s="44"/>
      <c r="T9" s="43"/>
      <c r="U9" s="8"/>
      <c r="V9" s="8"/>
      <c r="W9" s="8"/>
      <c r="X9" s="8"/>
      <c r="Y9" s="4"/>
      <c r="Z9" s="6"/>
    </row>
    <row r="10" spans="1:26" s="38" customFormat="1" ht="38.25" customHeight="1" x14ac:dyDescent="0.2">
      <c r="C10" s="42" t="s">
        <v>12</v>
      </c>
      <c r="D10" s="41" t="s">
        <v>15</v>
      </c>
      <c r="E10" s="41" t="s">
        <v>1</v>
      </c>
      <c r="F10" s="41" t="s">
        <v>2</v>
      </c>
      <c r="G10" s="41" t="s">
        <v>3</v>
      </c>
      <c r="H10" s="41" t="s">
        <v>4</v>
      </c>
      <c r="I10" s="41" t="s">
        <v>5</v>
      </c>
      <c r="J10" s="41" t="s">
        <v>14</v>
      </c>
      <c r="K10" s="41" t="s">
        <v>6</v>
      </c>
      <c r="L10" s="41" t="s">
        <v>7</v>
      </c>
      <c r="M10" s="41" t="s">
        <v>80</v>
      </c>
      <c r="N10" s="41" t="s">
        <v>16</v>
      </c>
      <c r="O10" s="41" t="s">
        <v>8</v>
      </c>
      <c r="P10" s="41" t="s">
        <v>9</v>
      </c>
      <c r="Q10" s="41" t="s">
        <v>10</v>
      </c>
      <c r="R10" s="41" t="s">
        <v>11</v>
      </c>
      <c r="S10" s="41" t="s">
        <v>75</v>
      </c>
      <c r="T10" s="41" t="s">
        <v>112</v>
      </c>
      <c r="U10" s="41" t="s">
        <v>79</v>
      </c>
      <c r="V10" s="40" t="s">
        <v>111</v>
      </c>
      <c r="W10" s="40" t="s">
        <v>110</v>
      </c>
      <c r="X10" s="39"/>
    </row>
    <row r="11" spans="1:26" ht="12" customHeight="1" x14ac:dyDescent="0.2">
      <c r="A11" s="3">
        <v>511101</v>
      </c>
      <c r="B11" s="30">
        <v>511101</v>
      </c>
      <c r="C11" s="29" t="s">
        <v>65</v>
      </c>
      <c r="D11" s="36">
        <v>1618080.3729999999</v>
      </c>
      <c r="E11" s="36">
        <v>519333.44199999998</v>
      </c>
      <c r="F11" s="36">
        <v>94763.219500000007</v>
      </c>
      <c r="G11" s="36">
        <v>1177811.3620000002</v>
      </c>
      <c r="H11" s="36">
        <v>941120.04650000005</v>
      </c>
      <c r="I11" s="36">
        <v>902674.10649999999</v>
      </c>
      <c r="J11" s="36">
        <v>1367492.5085</v>
      </c>
      <c r="K11" s="36">
        <v>1512227.683</v>
      </c>
      <c r="L11" s="37">
        <v>-4686641</v>
      </c>
      <c r="M11" s="36">
        <v>976874.95</v>
      </c>
      <c r="N11" s="36">
        <v>14106515.348000001</v>
      </c>
      <c r="O11" s="36">
        <v>8657139.112999998</v>
      </c>
      <c r="P11" s="36">
        <v>10181440.5725</v>
      </c>
      <c r="Q11" s="36">
        <v>2075472.551</v>
      </c>
      <c r="R11" s="36">
        <v>2457676.0184999998</v>
      </c>
      <c r="S11" s="36">
        <v>7180792.4804999996</v>
      </c>
      <c r="T11" s="35">
        <f t="shared" ref="T11:T74" si="0">SUM(D11:S11)</f>
        <v>49082772.774499997</v>
      </c>
      <c r="U11" s="34">
        <v>47960753.444949977</v>
      </c>
      <c r="V11" s="34">
        <f t="shared" ref="V11:V74" si="1">T11-U11</f>
        <v>1122019.3295500204</v>
      </c>
      <c r="W11" s="23">
        <f t="shared" ref="W11:W74" si="2">IF(U11=0,100%,V11/U11)</f>
        <v>2.3394530922828179E-2</v>
      </c>
      <c r="X11" s="23"/>
      <c r="Y11" s="33">
        <f>T11*8.02%</f>
        <v>3936438.3765148995</v>
      </c>
      <c r="Z11" s="3" t="s">
        <v>109</v>
      </c>
    </row>
    <row r="12" spans="1:26" ht="12" customHeight="1" x14ac:dyDescent="0.2">
      <c r="B12" s="30">
        <v>511202</v>
      </c>
      <c r="C12" s="29" t="s">
        <v>66</v>
      </c>
      <c r="D12" s="28">
        <v>0</v>
      </c>
      <c r="E12" s="28">
        <v>0</v>
      </c>
      <c r="F12" s="28">
        <v>0</v>
      </c>
      <c r="G12" s="28">
        <v>50000</v>
      </c>
      <c r="H12" s="28">
        <v>0</v>
      </c>
      <c r="I12" s="28">
        <v>28410</v>
      </c>
      <c r="J12" s="28">
        <v>0</v>
      </c>
      <c r="K12" s="28">
        <v>0</v>
      </c>
      <c r="L12" s="28">
        <v>0</v>
      </c>
      <c r="M12" s="28">
        <v>0</v>
      </c>
      <c r="N12" s="28">
        <v>0</v>
      </c>
      <c r="O12" s="28">
        <v>0</v>
      </c>
      <c r="P12" s="28">
        <v>0</v>
      </c>
      <c r="Q12" s="28">
        <v>0</v>
      </c>
      <c r="R12" s="28">
        <v>0</v>
      </c>
      <c r="S12" s="27">
        <v>0</v>
      </c>
      <c r="T12" s="27">
        <f t="shared" si="0"/>
        <v>78410</v>
      </c>
      <c r="U12" s="27">
        <v>0</v>
      </c>
      <c r="V12" s="26">
        <f t="shared" si="1"/>
        <v>78410</v>
      </c>
      <c r="W12" s="23">
        <f t="shared" si="2"/>
        <v>1</v>
      </c>
      <c r="X12" s="23"/>
      <c r="Y12" s="33"/>
      <c r="Z12" s="3"/>
    </row>
    <row r="13" spans="1:26" ht="12" customHeight="1" x14ac:dyDescent="0.2">
      <c r="A13" s="3">
        <v>511301</v>
      </c>
      <c r="B13" s="30">
        <v>511301</v>
      </c>
      <c r="C13" s="29" t="s">
        <v>67</v>
      </c>
      <c r="D13" s="28">
        <v>0</v>
      </c>
      <c r="E13" s="28">
        <v>0</v>
      </c>
      <c r="F13" s="28">
        <v>0</v>
      </c>
      <c r="G13" s="28">
        <v>2000</v>
      </c>
      <c r="H13" s="28">
        <v>0</v>
      </c>
      <c r="I13" s="28">
        <v>0</v>
      </c>
      <c r="J13" s="28">
        <v>0</v>
      </c>
      <c r="K13" s="28">
        <v>721</v>
      </c>
      <c r="L13" s="28">
        <v>0</v>
      </c>
      <c r="M13" s="28">
        <v>0</v>
      </c>
      <c r="N13" s="28">
        <v>343020.43</v>
      </c>
      <c r="O13" s="28">
        <v>88215.21</v>
      </c>
      <c r="P13" s="28">
        <v>309305.83999999997</v>
      </c>
      <c r="Q13" s="28">
        <v>0</v>
      </c>
      <c r="R13" s="28">
        <v>0</v>
      </c>
      <c r="S13" s="27">
        <v>23270</v>
      </c>
      <c r="T13" s="27">
        <f t="shared" si="0"/>
        <v>766532.48</v>
      </c>
      <c r="U13" s="27">
        <v>764676.4800000001</v>
      </c>
      <c r="V13" s="26">
        <f t="shared" si="1"/>
        <v>1855.9999999998836</v>
      </c>
      <c r="W13" s="23">
        <f t="shared" si="2"/>
        <v>2.4271702459056715E-3</v>
      </c>
      <c r="X13" s="23"/>
      <c r="Y13" s="32">
        <f>T11*3.5%</f>
        <v>1717897.0471075</v>
      </c>
      <c r="Z13" s="31" t="s">
        <v>108</v>
      </c>
    </row>
    <row r="14" spans="1:26" ht="12" customHeight="1" x14ac:dyDescent="0.2">
      <c r="A14" s="3">
        <v>512101</v>
      </c>
      <c r="B14" s="30">
        <v>512101</v>
      </c>
      <c r="C14" s="29" t="s">
        <v>68</v>
      </c>
      <c r="D14" s="28">
        <v>0</v>
      </c>
      <c r="E14" s="28">
        <v>0</v>
      </c>
      <c r="F14" s="28">
        <v>0</v>
      </c>
      <c r="G14" s="28">
        <v>0</v>
      </c>
      <c r="H14" s="28">
        <v>0</v>
      </c>
      <c r="I14" s="28">
        <v>0</v>
      </c>
      <c r="J14" s="28">
        <v>0</v>
      </c>
      <c r="K14" s="28">
        <v>0</v>
      </c>
      <c r="L14" s="28">
        <v>2626847.9699999997</v>
      </c>
      <c r="M14" s="28">
        <v>0</v>
      </c>
      <c r="N14" s="28">
        <v>0</v>
      </c>
      <c r="O14" s="28">
        <v>0</v>
      </c>
      <c r="P14" s="28">
        <v>0</v>
      </c>
      <c r="Q14" s="28">
        <v>0</v>
      </c>
      <c r="R14" s="28">
        <v>0</v>
      </c>
      <c r="S14" s="27">
        <v>0</v>
      </c>
      <c r="T14" s="27">
        <f t="shared" si="0"/>
        <v>2626847.9699999997</v>
      </c>
      <c r="U14" s="27">
        <v>2579020</v>
      </c>
      <c r="V14" s="26">
        <f t="shared" si="1"/>
        <v>47827.969999999739</v>
      </c>
      <c r="W14" s="23">
        <f t="shared" si="2"/>
        <v>1.8545017099518321E-2</v>
      </c>
      <c r="X14" s="23"/>
      <c r="Y14" s="15"/>
      <c r="Z14" s="3"/>
    </row>
    <row r="15" spans="1:26" ht="12" customHeight="1" x14ac:dyDescent="0.2">
      <c r="A15" s="3">
        <v>512401</v>
      </c>
      <c r="B15" s="30">
        <v>512401</v>
      </c>
      <c r="C15" s="29" t="s">
        <v>69</v>
      </c>
      <c r="D15" s="28">
        <v>222091.32226799999</v>
      </c>
      <c r="E15" s="28">
        <v>57808.094303999998</v>
      </c>
      <c r="F15" s="28">
        <v>13669.503486</v>
      </c>
      <c r="G15" s="28">
        <v>167375.82219800001</v>
      </c>
      <c r="H15" s="28">
        <v>133993.06989099999</v>
      </c>
      <c r="I15" s="28">
        <v>116898.830592</v>
      </c>
      <c r="J15" s="28">
        <v>195553.38197400002</v>
      </c>
      <c r="K15" s="28">
        <v>216538.15243400002</v>
      </c>
      <c r="L15" s="28">
        <v>0</v>
      </c>
      <c r="M15" s="28">
        <v>140906.105904</v>
      </c>
      <c r="N15" s="28">
        <v>1925046.424755</v>
      </c>
      <c r="O15" s="28">
        <v>1204367.9489520001</v>
      </c>
      <c r="P15" s="28">
        <v>1429812.2340149998</v>
      </c>
      <c r="Q15" s="28">
        <v>289010.98800499999</v>
      </c>
      <c r="R15" s="28">
        <v>337767.33861799998</v>
      </c>
      <c r="S15" s="27">
        <v>1025898.6743450002</v>
      </c>
      <c r="T15" s="27">
        <f t="shared" si="0"/>
        <v>7476737.8917410001</v>
      </c>
      <c r="U15" s="27">
        <v>7642821.3817890016</v>
      </c>
      <c r="V15" s="26">
        <f t="shared" si="1"/>
        <v>-166083.49004800152</v>
      </c>
      <c r="W15" s="23">
        <f t="shared" si="2"/>
        <v>-2.173065177785502E-2</v>
      </c>
      <c r="X15" s="23"/>
      <c r="Y15" s="15"/>
      <c r="Z15" s="3"/>
    </row>
    <row r="16" spans="1:26" ht="12" customHeight="1" x14ac:dyDescent="0.2">
      <c r="A16" s="3">
        <v>512501</v>
      </c>
      <c r="B16" s="30">
        <v>512501</v>
      </c>
      <c r="C16" s="29" t="s">
        <v>71</v>
      </c>
      <c r="D16" s="28">
        <v>0</v>
      </c>
      <c r="E16" s="28">
        <v>0</v>
      </c>
      <c r="F16" s="28">
        <v>0</v>
      </c>
      <c r="G16" s="28">
        <v>33100</v>
      </c>
      <c r="H16" s="28">
        <v>0</v>
      </c>
      <c r="I16" s="28">
        <v>0</v>
      </c>
      <c r="J16" s="28">
        <v>0</v>
      </c>
      <c r="K16" s="28">
        <v>0</v>
      </c>
      <c r="L16" s="28">
        <v>0</v>
      </c>
      <c r="M16" s="28">
        <v>0</v>
      </c>
      <c r="N16" s="28">
        <v>0</v>
      </c>
      <c r="O16" s="28">
        <v>0</v>
      </c>
      <c r="P16" s="28">
        <v>0</v>
      </c>
      <c r="Q16" s="28">
        <v>0</v>
      </c>
      <c r="R16" s="28">
        <v>0</v>
      </c>
      <c r="S16" s="27">
        <v>0</v>
      </c>
      <c r="T16" s="27">
        <f t="shared" si="0"/>
        <v>33100</v>
      </c>
      <c r="U16" s="27">
        <v>11770</v>
      </c>
      <c r="V16" s="26">
        <f t="shared" si="1"/>
        <v>21330</v>
      </c>
      <c r="W16" s="23">
        <f t="shared" si="2"/>
        <v>1.8122344944774851</v>
      </c>
      <c r="X16" s="23"/>
      <c r="Y16" s="4"/>
      <c r="Z16" s="3"/>
    </row>
    <row r="17" spans="1:26" ht="12" customHeight="1" x14ac:dyDescent="0.2">
      <c r="A17" s="3">
        <v>512601</v>
      </c>
      <c r="B17" s="30">
        <v>512601</v>
      </c>
      <c r="C17" s="29" t="s">
        <v>72</v>
      </c>
      <c r="D17" s="28">
        <v>0</v>
      </c>
      <c r="E17" s="28">
        <v>0</v>
      </c>
      <c r="F17" s="28">
        <v>0</v>
      </c>
      <c r="G17" s="28">
        <v>0</v>
      </c>
      <c r="H17" s="28">
        <v>0</v>
      </c>
      <c r="I17" s="28">
        <v>0</v>
      </c>
      <c r="J17" s="28">
        <v>0</v>
      </c>
      <c r="K17" s="28">
        <v>0</v>
      </c>
      <c r="L17" s="28">
        <v>123661</v>
      </c>
      <c r="M17" s="28">
        <v>0</v>
      </c>
      <c r="N17" s="28">
        <v>0</v>
      </c>
      <c r="O17" s="28">
        <v>0</v>
      </c>
      <c r="P17" s="28">
        <v>0</v>
      </c>
      <c r="Q17" s="28">
        <v>0</v>
      </c>
      <c r="R17" s="28">
        <v>0</v>
      </c>
      <c r="S17" s="27">
        <v>0</v>
      </c>
      <c r="T17" s="27">
        <f t="shared" si="0"/>
        <v>123661</v>
      </c>
      <c r="U17" s="27">
        <v>123661</v>
      </c>
      <c r="V17" s="26">
        <f t="shared" si="1"/>
        <v>0</v>
      </c>
      <c r="W17" s="23">
        <f t="shared" si="2"/>
        <v>0</v>
      </c>
      <c r="X17" s="23"/>
      <c r="Y17" s="4"/>
      <c r="Z17" s="3"/>
    </row>
    <row r="18" spans="1:26" ht="12" customHeight="1" x14ac:dyDescent="0.2">
      <c r="A18" s="3">
        <v>512701</v>
      </c>
      <c r="B18" s="30">
        <v>512701</v>
      </c>
      <c r="C18" s="29" t="s">
        <v>74</v>
      </c>
      <c r="D18" s="28">
        <v>0</v>
      </c>
      <c r="E18" s="28">
        <v>0</v>
      </c>
      <c r="F18" s="28">
        <v>0</v>
      </c>
      <c r="G18" s="28">
        <v>0</v>
      </c>
      <c r="H18" s="28">
        <v>0</v>
      </c>
      <c r="I18" s="28">
        <v>0</v>
      </c>
      <c r="J18" s="28">
        <v>0</v>
      </c>
      <c r="K18" s="28">
        <v>0</v>
      </c>
      <c r="L18" s="28">
        <v>251522</v>
      </c>
      <c r="M18" s="28">
        <v>0</v>
      </c>
      <c r="N18" s="28">
        <v>0</v>
      </c>
      <c r="O18" s="28">
        <v>0</v>
      </c>
      <c r="P18" s="28">
        <v>0</v>
      </c>
      <c r="Q18" s="28">
        <v>0</v>
      </c>
      <c r="R18" s="28">
        <v>0</v>
      </c>
      <c r="S18" s="27">
        <v>0</v>
      </c>
      <c r="T18" s="27">
        <f t="shared" si="0"/>
        <v>251522</v>
      </c>
      <c r="U18" s="27">
        <v>251522</v>
      </c>
      <c r="V18" s="26">
        <f t="shared" si="1"/>
        <v>0</v>
      </c>
      <c r="W18" s="23">
        <f t="shared" si="2"/>
        <v>0</v>
      </c>
      <c r="X18" s="23"/>
      <c r="Y18" s="4"/>
      <c r="Z18" s="3"/>
    </row>
    <row r="19" spans="1:26" ht="12" customHeight="1" x14ac:dyDescent="0.2">
      <c r="A19" s="3">
        <v>521101</v>
      </c>
      <c r="B19" s="30">
        <v>521101</v>
      </c>
      <c r="C19" s="29" t="s">
        <v>22</v>
      </c>
      <c r="D19" s="28">
        <v>2308</v>
      </c>
      <c r="E19" s="28">
        <v>3000</v>
      </c>
      <c r="F19" s="28">
        <v>51918</v>
      </c>
      <c r="G19" s="28">
        <v>9000</v>
      </c>
      <c r="H19" s="28">
        <v>1000</v>
      </c>
      <c r="I19" s="28">
        <v>2300</v>
      </c>
      <c r="J19" s="28">
        <v>1581</v>
      </c>
      <c r="K19" s="28">
        <v>8902</v>
      </c>
      <c r="L19" s="28">
        <v>0</v>
      </c>
      <c r="M19" s="28">
        <v>0</v>
      </c>
      <c r="N19" s="28">
        <v>33440</v>
      </c>
      <c r="O19" s="28">
        <v>0</v>
      </c>
      <c r="P19" s="28">
        <v>7100</v>
      </c>
      <c r="Q19" s="28">
        <v>1000</v>
      </c>
      <c r="R19" s="28">
        <v>500</v>
      </c>
      <c r="S19" s="27">
        <v>1000</v>
      </c>
      <c r="T19" s="27">
        <f t="shared" si="0"/>
        <v>123049</v>
      </c>
      <c r="U19" s="27">
        <v>95402.13</v>
      </c>
      <c r="V19" s="26">
        <f t="shared" si="1"/>
        <v>27646.869999999995</v>
      </c>
      <c r="W19" s="23">
        <f t="shared" si="2"/>
        <v>0.28979300566978949</v>
      </c>
      <c r="X19" s="23"/>
      <c r="Y19" s="4"/>
      <c r="Z19" s="3"/>
    </row>
    <row r="20" spans="1:26" ht="12" customHeight="1" x14ac:dyDescent="0.2">
      <c r="A20" s="3">
        <v>521201</v>
      </c>
      <c r="B20" s="30">
        <v>521201</v>
      </c>
      <c r="C20" s="29" t="s">
        <v>38</v>
      </c>
      <c r="D20" s="28">
        <v>710</v>
      </c>
      <c r="E20" s="28">
        <v>45000</v>
      </c>
      <c r="F20" s="28">
        <v>0</v>
      </c>
      <c r="G20" s="28">
        <v>156000</v>
      </c>
      <c r="H20" s="28">
        <v>100000</v>
      </c>
      <c r="I20" s="28">
        <v>0</v>
      </c>
      <c r="J20" s="28">
        <v>0</v>
      </c>
      <c r="K20" s="28">
        <v>1968224</v>
      </c>
      <c r="L20" s="28">
        <v>42000</v>
      </c>
      <c r="M20" s="28">
        <v>427900</v>
      </c>
      <c r="N20" s="28">
        <v>14131088</v>
      </c>
      <c r="O20" s="28">
        <v>1576000</v>
      </c>
      <c r="P20" s="28">
        <v>400000</v>
      </c>
      <c r="Q20" s="28">
        <v>64000</v>
      </c>
      <c r="R20" s="28">
        <v>0</v>
      </c>
      <c r="S20" s="27">
        <v>36500</v>
      </c>
      <c r="T20" s="27">
        <f t="shared" si="0"/>
        <v>18947422</v>
      </c>
      <c r="U20" s="27">
        <v>18504185.039999999</v>
      </c>
      <c r="V20" s="26">
        <f t="shared" si="1"/>
        <v>443236.96000000089</v>
      </c>
      <c r="W20" s="23">
        <f t="shared" si="2"/>
        <v>2.3953335909788379E-2</v>
      </c>
      <c r="X20" s="23"/>
      <c r="Y20" s="4"/>
      <c r="Z20" s="3"/>
    </row>
    <row r="21" spans="1:26" ht="12" customHeight="1" x14ac:dyDescent="0.2">
      <c r="A21" s="3">
        <v>521202</v>
      </c>
      <c r="B21" s="30">
        <v>521202</v>
      </c>
      <c r="C21" s="29" t="s">
        <v>39</v>
      </c>
      <c r="D21" s="28">
        <v>0</v>
      </c>
      <c r="E21" s="28">
        <v>0</v>
      </c>
      <c r="F21" s="28">
        <v>0</v>
      </c>
      <c r="G21" s="28">
        <v>0</v>
      </c>
      <c r="H21" s="28">
        <v>0</v>
      </c>
      <c r="I21" s="28">
        <v>2028181</v>
      </c>
      <c r="J21" s="28">
        <v>0</v>
      </c>
      <c r="K21" s="28">
        <v>0</v>
      </c>
      <c r="L21" s="28">
        <v>0</v>
      </c>
      <c r="M21" s="28">
        <v>0</v>
      </c>
      <c r="N21" s="28">
        <v>0</v>
      </c>
      <c r="O21" s="28">
        <v>0</v>
      </c>
      <c r="P21" s="28">
        <v>0</v>
      </c>
      <c r="Q21" s="28">
        <v>0</v>
      </c>
      <c r="R21" s="28">
        <v>0</v>
      </c>
      <c r="S21" s="27">
        <v>0</v>
      </c>
      <c r="T21" s="27">
        <f t="shared" si="0"/>
        <v>2028181</v>
      </c>
      <c r="U21" s="27">
        <v>2028181</v>
      </c>
      <c r="V21" s="26">
        <f t="shared" si="1"/>
        <v>0</v>
      </c>
      <c r="W21" s="23">
        <f t="shared" si="2"/>
        <v>0</v>
      </c>
      <c r="X21" s="23"/>
      <c r="Y21" s="4"/>
      <c r="Z21" s="3"/>
    </row>
    <row r="22" spans="1:26" ht="12" customHeight="1" x14ac:dyDescent="0.2">
      <c r="A22" s="3">
        <v>521203</v>
      </c>
      <c r="B22" s="30">
        <v>521203</v>
      </c>
      <c r="C22" s="29" t="s">
        <v>40</v>
      </c>
      <c r="D22" s="28">
        <v>0</v>
      </c>
      <c r="E22" s="28">
        <v>0</v>
      </c>
      <c r="F22" s="28">
        <v>0</v>
      </c>
      <c r="G22" s="28">
        <v>0</v>
      </c>
      <c r="H22" s="28">
        <v>289753</v>
      </c>
      <c r="I22" s="28">
        <v>0</v>
      </c>
      <c r="J22" s="28">
        <v>0</v>
      </c>
      <c r="K22" s="28">
        <v>0</v>
      </c>
      <c r="L22" s="28">
        <v>0</v>
      </c>
      <c r="M22" s="28">
        <v>0</v>
      </c>
      <c r="N22" s="28">
        <v>0</v>
      </c>
      <c r="O22" s="28">
        <v>0</v>
      </c>
      <c r="P22" s="28">
        <v>0</v>
      </c>
      <c r="Q22" s="28">
        <v>0</v>
      </c>
      <c r="R22" s="28">
        <v>0</v>
      </c>
      <c r="S22" s="27">
        <v>0</v>
      </c>
      <c r="T22" s="27">
        <f t="shared" si="0"/>
        <v>289753</v>
      </c>
      <c r="U22" s="27">
        <v>289753</v>
      </c>
      <c r="V22" s="26">
        <f t="shared" si="1"/>
        <v>0</v>
      </c>
      <c r="W22" s="23">
        <f t="shared" si="2"/>
        <v>0</v>
      </c>
      <c r="X22" s="23"/>
      <c r="Y22" s="4"/>
      <c r="Z22" s="3"/>
    </row>
    <row r="23" spans="1:26" ht="12" customHeight="1" x14ac:dyDescent="0.2">
      <c r="A23" s="3">
        <v>521204</v>
      </c>
      <c r="B23" s="30">
        <v>521204</v>
      </c>
      <c r="C23" s="29" t="s">
        <v>41</v>
      </c>
      <c r="D23" s="28">
        <v>0</v>
      </c>
      <c r="E23" s="28">
        <v>0</v>
      </c>
      <c r="F23" s="28">
        <v>0</v>
      </c>
      <c r="G23" s="28">
        <v>0</v>
      </c>
      <c r="H23" s="28">
        <v>0</v>
      </c>
      <c r="I23" s="28">
        <v>0</v>
      </c>
      <c r="J23" s="28">
        <v>0</v>
      </c>
      <c r="K23" s="28">
        <v>0</v>
      </c>
      <c r="L23" s="28">
        <v>0</v>
      </c>
      <c r="M23" s="28">
        <v>175000</v>
      </c>
      <c r="N23" s="28">
        <v>0</v>
      </c>
      <c r="O23" s="28">
        <v>0</v>
      </c>
      <c r="P23" s="28">
        <v>0</v>
      </c>
      <c r="Q23" s="28">
        <v>0</v>
      </c>
      <c r="R23" s="28">
        <v>0</v>
      </c>
      <c r="S23" s="27">
        <v>0</v>
      </c>
      <c r="T23" s="27">
        <f t="shared" si="0"/>
        <v>175000</v>
      </c>
      <c r="U23" s="27">
        <v>469531</v>
      </c>
      <c r="V23" s="26">
        <f t="shared" si="1"/>
        <v>-294531</v>
      </c>
      <c r="W23" s="23">
        <f t="shared" si="2"/>
        <v>-0.62728765512820239</v>
      </c>
      <c r="X23" s="23"/>
      <c r="Y23" s="4"/>
      <c r="Z23" s="3"/>
    </row>
    <row r="24" spans="1:26" ht="12" customHeight="1" x14ac:dyDescent="0.2">
      <c r="A24" s="3">
        <v>521205</v>
      </c>
      <c r="B24" s="30">
        <v>521205</v>
      </c>
      <c r="C24" s="29" t="s">
        <v>107</v>
      </c>
      <c r="D24" s="28">
        <v>0</v>
      </c>
      <c r="E24" s="28">
        <v>0</v>
      </c>
      <c r="F24" s="28">
        <v>0</v>
      </c>
      <c r="G24" s="28">
        <v>0</v>
      </c>
      <c r="H24" s="28">
        <v>0</v>
      </c>
      <c r="I24" s="28">
        <v>0</v>
      </c>
      <c r="J24" s="28">
        <v>0</v>
      </c>
      <c r="K24" s="28">
        <v>0</v>
      </c>
      <c r="L24" s="28">
        <v>0</v>
      </c>
      <c r="M24" s="28">
        <v>91000</v>
      </c>
      <c r="N24" s="28">
        <v>0</v>
      </c>
      <c r="O24" s="28">
        <v>0</v>
      </c>
      <c r="P24" s="28">
        <v>0</v>
      </c>
      <c r="Q24" s="28">
        <v>0</v>
      </c>
      <c r="R24" s="28">
        <v>0</v>
      </c>
      <c r="S24" s="27">
        <v>0</v>
      </c>
      <c r="T24" s="27">
        <f t="shared" si="0"/>
        <v>91000</v>
      </c>
      <c r="U24" s="27">
        <v>91000</v>
      </c>
      <c r="V24" s="26">
        <f t="shared" si="1"/>
        <v>0</v>
      </c>
      <c r="W24" s="23">
        <f t="shared" si="2"/>
        <v>0</v>
      </c>
      <c r="X24" s="23"/>
      <c r="Y24" s="4"/>
      <c r="Z24" s="3"/>
    </row>
    <row r="25" spans="1:26" ht="12" customHeight="1" x14ac:dyDescent="0.2">
      <c r="A25" s="3">
        <v>521207</v>
      </c>
      <c r="B25" s="30">
        <v>521207</v>
      </c>
      <c r="C25" s="29" t="s">
        <v>42</v>
      </c>
      <c r="D25" s="28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600000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7">
        <v>575000</v>
      </c>
      <c r="T25" s="27">
        <f t="shared" si="0"/>
        <v>1175000</v>
      </c>
      <c r="U25" s="27">
        <v>1600000</v>
      </c>
      <c r="V25" s="26">
        <f t="shared" si="1"/>
        <v>-425000</v>
      </c>
      <c r="W25" s="23">
        <f t="shared" si="2"/>
        <v>-0.265625</v>
      </c>
      <c r="X25" s="23"/>
      <c r="Y25" s="4"/>
      <c r="Z25" s="3"/>
    </row>
    <row r="26" spans="1:26" ht="12" customHeight="1" x14ac:dyDescent="0.2">
      <c r="A26" s="3">
        <v>521208</v>
      </c>
      <c r="B26" s="30">
        <v>521208</v>
      </c>
      <c r="C26" s="29" t="s">
        <v>43</v>
      </c>
      <c r="D26" s="28">
        <v>0</v>
      </c>
      <c r="E26" s="28">
        <v>0</v>
      </c>
      <c r="F26" s="28">
        <v>0</v>
      </c>
      <c r="G26" s="28">
        <v>0</v>
      </c>
      <c r="H26" s="28">
        <v>0</v>
      </c>
      <c r="I26" s="28">
        <v>0</v>
      </c>
      <c r="J26" s="28">
        <v>0</v>
      </c>
      <c r="K26" s="28">
        <v>0</v>
      </c>
      <c r="L26" s="28">
        <v>0</v>
      </c>
      <c r="M26" s="28">
        <v>0</v>
      </c>
      <c r="N26" s="28">
        <v>0</v>
      </c>
      <c r="O26" s="28">
        <v>0</v>
      </c>
      <c r="P26" s="28">
        <v>0</v>
      </c>
      <c r="Q26" s="28">
        <v>0</v>
      </c>
      <c r="R26" s="28">
        <v>0</v>
      </c>
      <c r="S26" s="27">
        <v>12223499</v>
      </c>
      <c r="T26" s="27">
        <f t="shared" si="0"/>
        <v>12223499</v>
      </c>
      <c r="U26" s="27">
        <v>10691041</v>
      </c>
      <c r="V26" s="26">
        <f t="shared" si="1"/>
        <v>1532458</v>
      </c>
      <c r="W26" s="23">
        <f t="shared" si="2"/>
        <v>0.14334039126779141</v>
      </c>
      <c r="X26" s="23"/>
      <c r="Y26" s="4"/>
      <c r="Z26" s="3"/>
    </row>
    <row r="27" spans="1:26" ht="12" customHeight="1" x14ac:dyDescent="0.2">
      <c r="A27" s="3">
        <v>521209</v>
      </c>
      <c r="B27" s="30">
        <v>521209</v>
      </c>
      <c r="C27" s="29" t="s">
        <v>44</v>
      </c>
      <c r="D27" s="28">
        <v>0</v>
      </c>
      <c r="E27" s="28">
        <v>0</v>
      </c>
      <c r="F27" s="28">
        <v>0</v>
      </c>
      <c r="G27" s="28">
        <v>0</v>
      </c>
      <c r="H27" s="28">
        <v>0</v>
      </c>
      <c r="I27" s="28">
        <v>0</v>
      </c>
      <c r="J27" s="28">
        <v>0</v>
      </c>
      <c r="K27" s="28">
        <v>0</v>
      </c>
      <c r="L27" s="28">
        <v>0</v>
      </c>
      <c r="M27" s="28">
        <v>0</v>
      </c>
      <c r="N27" s="28">
        <v>50142</v>
      </c>
      <c r="O27" s="28">
        <v>0</v>
      </c>
      <c r="P27" s="28">
        <v>0</v>
      </c>
      <c r="Q27" s="28">
        <v>0</v>
      </c>
      <c r="R27" s="28">
        <v>0</v>
      </c>
      <c r="S27" s="27">
        <v>0</v>
      </c>
      <c r="T27" s="27">
        <f t="shared" si="0"/>
        <v>50142</v>
      </c>
      <c r="U27" s="27">
        <v>50142</v>
      </c>
      <c r="V27" s="26">
        <f t="shared" si="1"/>
        <v>0</v>
      </c>
      <c r="W27" s="23">
        <f t="shared" si="2"/>
        <v>0</v>
      </c>
      <c r="X27" s="23"/>
      <c r="Y27" s="4"/>
      <c r="Z27" s="3"/>
    </row>
    <row r="28" spans="1:26" ht="12" customHeight="1" x14ac:dyDescent="0.2">
      <c r="A28" s="3">
        <v>521212</v>
      </c>
      <c r="B28" s="30">
        <v>521212</v>
      </c>
      <c r="C28" s="29" t="s">
        <v>45</v>
      </c>
      <c r="D28" s="28">
        <v>0</v>
      </c>
      <c r="E28" s="28">
        <v>0</v>
      </c>
      <c r="F28" s="28">
        <v>0</v>
      </c>
      <c r="G28" s="28">
        <v>0</v>
      </c>
      <c r="H28" s="28">
        <v>0</v>
      </c>
      <c r="I28" s="28">
        <v>0</v>
      </c>
      <c r="J28" s="28">
        <v>0</v>
      </c>
      <c r="K28" s="28">
        <v>0</v>
      </c>
      <c r="L28" s="28">
        <v>0</v>
      </c>
      <c r="M28" s="28">
        <v>0</v>
      </c>
      <c r="N28" s="28">
        <v>0</v>
      </c>
      <c r="O28" s="28">
        <v>11065703</v>
      </c>
      <c r="P28" s="28">
        <v>32139085</v>
      </c>
      <c r="Q28" s="28">
        <v>0</v>
      </c>
      <c r="R28" s="28">
        <v>0</v>
      </c>
      <c r="S28" s="27">
        <v>51542</v>
      </c>
      <c r="T28" s="27">
        <f t="shared" si="0"/>
        <v>43256330</v>
      </c>
      <c r="U28" s="27">
        <v>34740336.82</v>
      </c>
      <c r="V28" s="26">
        <f t="shared" si="1"/>
        <v>8515993.1799999997</v>
      </c>
      <c r="W28" s="23">
        <f t="shared" si="2"/>
        <v>0.24513271774317816</v>
      </c>
      <c r="X28" s="23"/>
      <c r="Y28" s="4"/>
      <c r="Z28" s="3"/>
    </row>
    <row r="29" spans="1:26" ht="12" customHeight="1" x14ac:dyDescent="0.2">
      <c r="A29" s="3">
        <v>521213</v>
      </c>
      <c r="B29" s="30">
        <v>521213</v>
      </c>
      <c r="C29" s="29" t="s">
        <v>106</v>
      </c>
      <c r="D29" s="28">
        <v>0</v>
      </c>
      <c r="E29" s="28">
        <v>0</v>
      </c>
      <c r="F29" s="28">
        <v>0</v>
      </c>
      <c r="G29" s="28">
        <v>0</v>
      </c>
      <c r="H29" s="28">
        <v>0</v>
      </c>
      <c r="I29" s="28">
        <v>0</v>
      </c>
      <c r="J29" s="28">
        <v>0</v>
      </c>
      <c r="K29" s="28">
        <v>0</v>
      </c>
      <c r="L29" s="28">
        <v>0</v>
      </c>
      <c r="M29" s="28">
        <v>0</v>
      </c>
      <c r="N29" s="28">
        <v>0</v>
      </c>
      <c r="O29" s="28">
        <v>0</v>
      </c>
      <c r="P29" s="28">
        <v>0</v>
      </c>
      <c r="Q29" s="28">
        <v>0</v>
      </c>
      <c r="R29" s="28">
        <v>37361565</v>
      </c>
      <c r="S29" s="27">
        <v>0</v>
      </c>
      <c r="T29" s="27">
        <f t="shared" si="0"/>
        <v>37361565</v>
      </c>
      <c r="U29" s="27">
        <v>40794758</v>
      </c>
      <c r="V29" s="26">
        <f t="shared" si="1"/>
        <v>-3433193</v>
      </c>
      <c r="W29" s="23">
        <f t="shared" si="2"/>
        <v>-8.4157699869184172E-2</v>
      </c>
      <c r="X29" s="23"/>
      <c r="Y29" s="4"/>
      <c r="Z29" s="3"/>
    </row>
    <row r="30" spans="1:26" ht="12" customHeight="1" x14ac:dyDescent="0.2">
      <c r="A30" s="3">
        <v>521301</v>
      </c>
      <c r="B30" s="30">
        <v>521301</v>
      </c>
      <c r="C30" s="29" t="s">
        <v>105</v>
      </c>
      <c r="D30" s="28">
        <v>0</v>
      </c>
      <c r="E30" s="28">
        <v>0</v>
      </c>
      <c r="F30" s="28">
        <v>0</v>
      </c>
      <c r="G30" s="28">
        <v>0</v>
      </c>
      <c r="H30" s="28">
        <v>0</v>
      </c>
      <c r="I30" s="28">
        <v>0</v>
      </c>
      <c r="J30" s="28">
        <v>0</v>
      </c>
      <c r="K30" s="28">
        <v>0</v>
      </c>
      <c r="L30" s="28">
        <v>0</v>
      </c>
      <c r="M30" s="28">
        <v>0</v>
      </c>
      <c r="N30" s="28">
        <v>0</v>
      </c>
      <c r="O30" s="28">
        <f>31867354+500000</f>
        <v>32367354</v>
      </c>
      <c r="P30" s="28">
        <v>0</v>
      </c>
      <c r="Q30" s="28">
        <v>0</v>
      </c>
      <c r="R30" s="28">
        <v>3478262</v>
      </c>
      <c r="S30" s="27">
        <v>0</v>
      </c>
      <c r="T30" s="27">
        <f t="shared" si="0"/>
        <v>35845616</v>
      </c>
      <c r="U30" s="27">
        <v>33771899</v>
      </c>
      <c r="V30" s="26">
        <f t="shared" si="1"/>
        <v>2073717</v>
      </c>
      <c r="W30" s="23">
        <f t="shared" si="2"/>
        <v>6.1403624356450907E-2</v>
      </c>
      <c r="X30" s="23"/>
      <c r="Y30" s="4"/>
      <c r="Z30" s="3"/>
    </row>
    <row r="31" spans="1:26" ht="12" customHeight="1" x14ac:dyDescent="0.2">
      <c r="B31" s="30">
        <v>522201</v>
      </c>
      <c r="C31" s="29" t="s">
        <v>104</v>
      </c>
      <c r="D31" s="28">
        <v>0</v>
      </c>
      <c r="E31" s="28">
        <v>0</v>
      </c>
      <c r="F31" s="28">
        <v>0</v>
      </c>
      <c r="G31" s="28">
        <v>0</v>
      </c>
      <c r="H31" s="28">
        <v>0</v>
      </c>
      <c r="I31" s="28">
        <v>0</v>
      </c>
      <c r="J31" s="28">
        <v>0</v>
      </c>
      <c r="K31" s="28">
        <v>0</v>
      </c>
      <c r="L31" s="28">
        <v>0</v>
      </c>
      <c r="M31" s="28">
        <v>0</v>
      </c>
      <c r="N31" s="28">
        <v>0</v>
      </c>
      <c r="O31" s="28">
        <v>0</v>
      </c>
      <c r="P31" s="28">
        <v>675455</v>
      </c>
      <c r="Q31" s="28">
        <v>0</v>
      </c>
      <c r="R31" s="28">
        <v>0</v>
      </c>
      <c r="S31" s="27">
        <v>0</v>
      </c>
      <c r="T31" s="27">
        <f t="shared" si="0"/>
        <v>675455</v>
      </c>
      <c r="U31" s="27">
        <v>0</v>
      </c>
      <c r="V31" s="26">
        <f t="shared" si="1"/>
        <v>675455</v>
      </c>
      <c r="W31" s="23">
        <f t="shared" si="2"/>
        <v>1</v>
      </c>
      <c r="X31" s="23"/>
      <c r="Y31" s="4"/>
      <c r="Z31" s="3"/>
    </row>
    <row r="32" spans="1:26" ht="12" customHeight="1" x14ac:dyDescent="0.2">
      <c r="A32" s="3">
        <v>522202</v>
      </c>
      <c r="B32" s="30">
        <v>522202</v>
      </c>
      <c r="C32" s="29" t="s">
        <v>47</v>
      </c>
      <c r="D32" s="28">
        <v>0</v>
      </c>
      <c r="E32" s="28">
        <v>0</v>
      </c>
      <c r="F32" s="28">
        <v>0</v>
      </c>
      <c r="G32" s="28">
        <v>0</v>
      </c>
      <c r="H32" s="28">
        <v>0</v>
      </c>
      <c r="I32" s="28">
        <v>0</v>
      </c>
      <c r="J32" s="28">
        <v>0</v>
      </c>
      <c r="K32" s="28">
        <v>0</v>
      </c>
      <c r="L32" s="28">
        <v>0</v>
      </c>
      <c r="M32" s="28">
        <v>0</v>
      </c>
      <c r="N32" s="28">
        <v>0</v>
      </c>
      <c r="O32" s="28">
        <v>0</v>
      </c>
      <c r="P32" s="28">
        <v>616425</v>
      </c>
      <c r="Q32" s="28">
        <v>0</v>
      </c>
      <c r="R32" s="28">
        <v>0</v>
      </c>
      <c r="S32" s="27">
        <v>0</v>
      </c>
      <c r="T32" s="27">
        <f t="shared" si="0"/>
        <v>616425</v>
      </c>
      <c r="U32" s="27">
        <v>611500</v>
      </c>
      <c r="V32" s="26">
        <f t="shared" si="1"/>
        <v>4925</v>
      </c>
      <c r="W32" s="23">
        <f t="shared" si="2"/>
        <v>8.0539656582174976E-3</v>
      </c>
      <c r="X32" s="23"/>
      <c r="Y32" s="4"/>
      <c r="Z32" s="3"/>
    </row>
    <row r="33" spans="1:26" ht="12" customHeight="1" x14ac:dyDescent="0.2">
      <c r="A33" s="3">
        <v>522203</v>
      </c>
      <c r="B33" s="30">
        <v>522203</v>
      </c>
      <c r="C33" s="29" t="s">
        <v>103</v>
      </c>
      <c r="D33" s="28">
        <v>0</v>
      </c>
      <c r="E33" s="28">
        <v>0</v>
      </c>
      <c r="F33" s="28">
        <v>0</v>
      </c>
      <c r="G33" s="28">
        <v>0</v>
      </c>
      <c r="H33" s="28">
        <v>0</v>
      </c>
      <c r="I33" s="28">
        <v>0</v>
      </c>
      <c r="J33" s="28">
        <v>0</v>
      </c>
      <c r="K33" s="28">
        <v>0</v>
      </c>
      <c r="L33" s="28">
        <v>0</v>
      </c>
      <c r="M33" s="28">
        <v>0</v>
      </c>
      <c r="N33" s="28">
        <v>0</v>
      </c>
      <c r="O33" s="28">
        <v>0</v>
      </c>
      <c r="P33" s="28">
        <v>0</v>
      </c>
      <c r="Q33" s="28">
        <v>0</v>
      </c>
      <c r="R33" s="28">
        <v>4215000</v>
      </c>
      <c r="S33" s="27">
        <v>0</v>
      </c>
      <c r="T33" s="27">
        <f t="shared" si="0"/>
        <v>4215000</v>
      </c>
      <c r="U33" s="27">
        <v>3289700</v>
      </c>
      <c r="V33" s="26">
        <f t="shared" si="1"/>
        <v>925300</v>
      </c>
      <c r="W33" s="23">
        <f t="shared" si="2"/>
        <v>0.28127184849682341</v>
      </c>
      <c r="X33" s="23"/>
      <c r="Y33" s="4"/>
      <c r="Z33" s="3"/>
    </row>
    <row r="34" spans="1:26" ht="12" customHeight="1" x14ac:dyDescent="0.2">
      <c r="A34" s="3">
        <v>522204</v>
      </c>
      <c r="B34" s="30">
        <v>522204</v>
      </c>
      <c r="C34" s="29" t="s">
        <v>102</v>
      </c>
      <c r="D34" s="28">
        <v>0</v>
      </c>
      <c r="E34" s="28">
        <v>0</v>
      </c>
      <c r="F34" s="28">
        <v>0</v>
      </c>
      <c r="G34" s="28">
        <v>0</v>
      </c>
      <c r="H34" s="28">
        <v>0</v>
      </c>
      <c r="I34" s="28">
        <v>0</v>
      </c>
      <c r="J34" s="28">
        <v>0</v>
      </c>
      <c r="K34" s="28">
        <v>0</v>
      </c>
      <c r="L34" s="28">
        <v>0</v>
      </c>
      <c r="M34" s="28">
        <v>0</v>
      </c>
      <c r="N34" s="28">
        <v>0</v>
      </c>
      <c r="O34" s="28">
        <v>0</v>
      </c>
      <c r="P34" s="28">
        <v>0</v>
      </c>
      <c r="Q34" s="28">
        <v>0</v>
      </c>
      <c r="R34" s="28">
        <v>5921381</v>
      </c>
      <c r="S34" s="27">
        <v>0</v>
      </c>
      <c r="T34" s="27">
        <f t="shared" si="0"/>
        <v>5921381</v>
      </c>
      <c r="U34" s="27">
        <v>7637835</v>
      </c>
      <c r="V34" s="26">
        <f t="shared" si="1"/>
        <v>-1716454</v>
      </c>
      <c r="W34" s="23">
        <f t="shared" si="2"/>
        <v>-0.22473043735561191</v>
      </c>
      <c r="X34" s="23"/>
      <c r="Y34" s="4"/>
      <c r="Z34" s="3"/>
    </row>
    <row r="35" spans="1:26" ht="12" customHeight="1" x14ac:dyDescent="0.2">
      <c r="A35" s="3">
        <v>522205</v>
      </c>
      <c r="B35" s="30">
        <v>522205</v>
      </c>
      <c r="C35" s="29" t="s">
        <v>101</v>
      </c>
      <c r="D35" s="28">
        <v>0</v>
      </c>
      <c r="E35" s="28">
        <v>0</v>
      </c>
      <c r="F35" s="28">
        <v>0</v>
      </c>
      <c r="G35" s="28">
        <v>0</v>
      </c>
      <c r="H35" s="28">
        <v>0</v>
      </c>
      <c r="I35" s="28">
        <v>0</v>
      </c>
      <c r="J35" s="28">
        <v>0</v>
      </c>
      <c r="K35" s="28">
        <v>0</v>
      </c>
      <c r="L35" s="28">
        <v>0</v>
      </c>
      <c r="M35" s="28">
        <v>0</v>
      </c>
      <c r="N35" s="28">
        <v>0</v>
      </c>
      <c r="O35" s="28">
        <v>0</v>
      </c>
      <c r="P35" s="28">
        <v>0</v>
      </c>
      <c r="Q35" s="28">
        <v>0</v>
      </c>
      <c r="R35" s="28">
        <v>6400198</v>
      </c>
      <c r="S35" s="27">
        <v>0</v>
      </c>
      <c r="T35" s="27">
        <f t="shared" si="0"/>
        <v>6400198</v>
      </c>
      <c r="U35" s="27">
        <v>4906100</v>
      </c>
      <c r="V35" s="26">
        <f t="shared" si="1"/>
        <v>1494098</v>
      </c>
      <c r="W35" s="23">
        <f t="shared" si="2"/>
        <v>0.30453883940400728</v>
      </c>
      <c r="X35" s="23"/>
      <c r="Y35" s="4"/>
      <c r="Z35" s="3"/>
    </row>
    <row r="36" spans="1:26" ht="12" customHeight="1" x14ac:dyDescent="0.2">
      <c r="A36" s="3">
        <v>522206</v>
      </c>
      <c r="B36" s="30">
        <v>522206</v>
      </c>
      <c r="C36" s="29" t="s">
        <v>100</v>
      </c>
      <c r="D36" s="28">
        <v>0</v>
      </c>
      <c r="E36" s="28">
        <v>0</v>
      </c>
      <c r="F36" s="28">
        <v>0</v>
      </c>
      <c r="G36" s="28">
        <v>0</v>
      </c>
      <c r="H36" s="28">
        <v>0</v>
      </c>
      <c r="I36" s="28">
        <v>0</v>
      </c>
      <c r="J36" s="28">
        <v>0</v>
      </c>
      <c r="K36" s="28">
        <v>0</v>
      </c>
      <c r="L36" s="28">
        <v>0</v>
      </c>
      <c r="M36" s="28">
        <v>0</v>
      </c>
      <c r="N36" s="28">
        <v>0</v>
      </c>
      <c r="O36" s="28">
        <v>0</v>
      </c>
      <c r="P36" s="28">
        <v>0</v>
      </c>
      <c r="Q36" s="28">
        <v>0</v>
      </c>
      <c r="R36" s="28">
        <v>6275000</v>
      </c>
      <c r="S36" s="27">
        <v>0</v>
      </c>
      <c r="T36" s="27">
        <f t="shared" si="0"/>
        <v>6275000</v>
      </c>
      <c r="U36" s="27">
        <v>2721400</v>
      </c>
      <c r="V36" s="26">
        <f t="shared" si="1"/>
        <v>3553600</v>
      </c>
      <c r="W36" s="23">
        <f t="shared" si="2"/>
        <v>1.3057984860733447</v>
      </c>
      <c r="X36" s="23"/>
      <c r="Y36" s="4"/>
      <c r="Z36" s="3"/>
    </row>
    <row r="37" spans="1:26" ht="12" customHeight="1" x14ac:dyDescent="0.2">
      <c r="A37" s="3">
        <v>522301</v>
      </c>
      <c r="B37" s="30">
        <v>522301</v>
      </c>
      <c r="C37" s="29" t="s">
        <v>48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8">
        <v>0</v>
      </c>
      <c r="O37" s="28">
        <v>0</v>
      </c>
      <c r="P37" s="28">
        <v>340000</v>
      </c>
      <c r="Q37" s="28">
        <v>0</v>
      </c>
      <c r="R37" s="28">
        <v>0</v>
      </c>
      <c r="S37" s="27">
        <v>0</v>
      </c>
      <c r="T37" s="27">
        <f t="shared" si="0"/>
        <v>340000</v>
      </c>
      <c r="U37" s="27">
        <v>318752.14</v>
      </c>
      <c r="V37" s="26">
        <f t="shared" si="1"/>
        <v>21247.859999999986</v>
      </c>
      <c r="W37" s="23">
        <f t="shared" si="2"/>
        <v>6.6659505407555802E-2</v>
      </c>
      <c r="X37" s="23"/>
      <c r="Y37" s="4"/>
      <c r="Z37" s="3"/>
    </row>
    <row r="38" spans="1:26" ht="12" customHeight="1" x14ac:dyDescent="0.2">
      <c r="A38" s="3">
        <v>522302</v>
      </c>
      <c r="B38" s="30">
        <v>522302</v>
      </c>
      <c r="C38" s="29" t="s">
        <v>49</v>
      </c>
      <c r="D38" s="28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35200</v>
      </c>
      <c r="O38" s="28">
        <v>0</v>
      </c>
      <c r="P38" s="28">
        <v>53850</v>
      </c>
      <c r="Q38" s="28">
        <v>0</v>
      </c>
      <c r="R38" s="28">
        <v>0</v>
      </c>
      <c r="S38" s="27">
        <v>0</v>
      </c>
      <c r="T38" s="27">
        <f t="shared" si="0"/>
        <v>89050</v>
      </c>
      <c r="U38" s="27">
        <v>162754.20000000001</v>
      </c>
      <c r="V38" s="26">
        <f t="shared" si="1"/>
        <v>-73704.200000000012</v>
      </c>
      <c r="W38" s="23">
        <f t="shared" si="2"/>
        <v>-0.45285590172173751</v>
      </c>
      <c r="X38" s="23"/>
      <c r="Y38" s="4"/>
      <c r="Z38" s="3"/>
    </row>
    <row r="39" spans="1:26" ht="12" customHeight="1" x14ac:dyDescent="0.2">
      <c r="A39" s="3">
        <v>523101</v>
      </c>
      <c r="B39" s="30">
        <v>523101</v>
      </c>
      <c r="C39" s="29" t="s">
        <v>23</v>
      </c>
      <c r="D39" s="28">
        <v>0</v>
      </c>
      <c r="E39" s="28">
        <v>0</v>
      </c>
      <c r="F39" s="28">
        <v>0</v>
      </c>
      <c r="G39" s="28">
        <v>0</v>
      </c>
      <c r="H39" s="28">
        <v>0</v>
      </c>
      <c r="I39" s="28">
        <v>0</v>
      </c>
      <c r="J39" s="28">
        <v>0</v>
      </c>
      <c r="K39" s="28">
        <v>0</v>
      </c>
      <c r="L39" s="28">
        <v>0</v>
      </c>
      <c r="M39" s="28">
        <v>0</v>
      </c>
      <c r="N39" s="28">
        <v>0</v>
      </c>
      <c r="O39" s="28">
        <v>0</v>
      </c>
      <c r="P39" s="28">
        <v>0</v>
      </c>
      <c r="Q39" s="28">
        <v>0</v>
      </c>
      <c r="R39" s="28">
        <v>0</v>
      </c>
      <c r="S39" s="27">
        <v>7248478</v>
      </c>
      <c r="T39" s="27">
        <f t="shared" si="0"/>
        <v>7248478</v>
      </c>
      <c r="U39" s="27">
        <v>7248478</v>
      </c>
      <c r="V39" s="26">
        <f t="shared" si="1"/>
        <v>0</v>
      </c>
      <c r="W39" s="23">
        <f t="shared" si="2"/>
        <v>0</v>
      </c>
      <c r="X39" s="23"/>
      <c r="Y39" s="4"/>
      <c r="Z39" s="3"/>
    </row>
    <row r="40" spans="1:26" ht="12" customHeight="1" x14ac:dyDescent="0.2">
      <c r="A40" s="3">
        <v>523201</v>
      </c>
      <c r="B40" s="30">
        <v>523201</v>
      </c>
      <c r="C40" s="29" t="s">
        <v>58</v>
      </c>
      <c r="D40" s="28">
        <v>0</v>
      </c>
      <c r="E40" s="28">
        <v>0</v>
      </c>
      <c r="F40" s="28">
        <v>0</v>
      </c>
      <c r="G40" s="28">
        <v>0</v>
      </c>
      <c r="H40" s="28">
        <v>0</v>
      </c>
      <c r="I40" s="28">
        <v>0</v>
      </c>
      <c r="J40" s="28">
        <v>0</v>
      </c>
      <c r="K40" s="28">
        <v>0</v>
      </c>
      <c r="L40" s="28">
        <v>0</v>
      </c>
      <c r="M40" s="28">
        <v>0</v>
      </c>
      <c r="N40" s="28">
        <v>15266478</v>
      </c>
      <c r="O40" s="28">
        <v>0</v>
      </c>
      <c r="P40" s="28">
        <v>0</v>
      </c>
      <c r="Q40" s="28">
        <v>0</v>
      </c>
      <c r="R40" s="28">
        <v>0</v>
      </c>
      <c r="S40" s="27">
        <v>0</v>
      </c>
      <c r="T40" s="27">
        <f t="shared" si="0"/>
        <v>15266478</v>
      </c>
      <c r="U40" s="27">
        <v>12900000</v>
      </c>
      <c r="V40" s="26">
        <f t="shared" si="1"/>
        <v>2366478</v>
      </c>
      <c r="W40" s="23">
        <f t="shared" si="2"/>
        <v>0.18344790697674418</v>
      </c>
      <c r="X40" s="23"/>
      <c r="Y40" s="4"/>
      <c r="Z40" s="3"/>
    </row>
    <row r="41" spans="1:26" ht="12" customHeight="1" x14ac:dyDescent="0.2">
      <c r="A41" s="3">
        <v>523202</v>
      </c>
      <c r="B41" s="30">
        <v>523202</v>
      </c>
      <c r="C41" s="29" t="s">
        <v>59</v>
      </c>
      <c r="D41" s="28">
        <v>0</v>
      </c>
      <c r="E41" s="28">
        <v>0</v>
      </c>
      <c r="F41" s="28">
        <v>0</v>
      </c>
      <c r="G41" s="28">
        <v>0</v>
      </c>
      <c r="H41" s="28">
        <v>0</v>
      </c>
      <c r="I41" s="28">
        <v>0</v>
      </c>
      <c r="J41" s="28">
        <v>0</v>
      </c>
      <c r="K41" s="28">
        <v>0</v>
      </c>
      <c r="L41" s="28">
        <v>0</v>
      </c>
      <c r="M41" s="28">
        <v>0</v>
      </c>
      <c r="N41" s="28">
        <v>0</v>
      </c>
      <c r="O41" s="28">
        <v>1831100</v>
      </c>
      <c r="P41" s="28">
        <v>355000</v>
      </c>
      <c r="Q41" s="28">
        <v>0</v>
      </c>
      <c r="R41" s="28">
        <v>0</v>
      </c>
      <c r="S41" s="27">
        <v>0</v>
      </c>
      <c r="T41" s="27">
        <f t="shared" si="0"/>
        <v>2186100</v>
      </c>
      <c r="U41" s="27">
        <v>2154912</v>
      </c>
      <c r="V41" s="26">
        <f t="shared" si="1"/>
        <v>31188</v>
      </c>
      <c r="W41" s="23">
        <f t="shared" si="2"/>
        <v>1.4472980799215931E-2</v>
      </c>
      <c r="X41" s="23"/>
      <c r="Y41" s="4"/>
      <c r="Z41" s="3"/>
    </row>
    <row r="42" spans="1:26" ht="12" customHeight="1" x14ac:dyDescent="0.2">
      <c r="A42" s="3">
        <v>523203</v>
      </c>
      <c r="B42" s="30">
        <v>523203</v>
      </c>
      <c r="C42" s="29" t="s">
        <v>33</v>
      </c>
      <c r="D42" s="28">
        <v>0</v>
      </c>
      <c r="E42" s="28">
        <v>0</v>
      </c>
      <c r="F42" s="28">
        <v>0</v>
      </c>
      <c r="G42" s="28">
        <v>0</v>
      </c>
      <c r="H42" s="28">
        <v>0</v>
      </c>
      <c r="I42" s="28">
        <v>0</v>
      </c>
      <c r="J42" s="28">
        <v>44369</v>
      </c>
      <c r="K42" s="28">
        <v>0</v>
      </c>
      <c r="L42" s="28">
        <v>0</v>
      </c>
      <c r="M42" s="28">
        <v>0</v>
      </c>
      <c r="N42" s="28">
        <v>0</v>
      </c>
      <c r="O42" s="28">
        <v>0</v>
      </c>
      <c r="P42" s="28">
        <v>0</v>
      </c>
      <c r="Q42" s="28">
        <v>0</v>
      </c>
      <c r="R42" s="28">
        <v>0</v>
      </c>
      <c r="S42" s="27">
        <v>0</v>
      </c>
      <c r="T42" s="27">
        <f t="shared" si="0"/>
        <v>44369</v>
      </c>
      <c r="U42" s="27">
        <v>44369</v>
      </c>
      <c r="V42" s="26">
        <f t="shared" si="1"/>
        <v>0</v>
      </c>
      <c r="W42" s="23">
        <f t="shared" si="2"/>
        <v>0</v>
      </c>
      <c r="X42" s="23"/>
      <c r="Y42" s="4"/>
      <c r="Z42" s="3"/>
    </row>
    <row r="43" spans="1:26" ht="12" customHeight="1" x14ac:dyDescent="0.2">
      <c r="A43" s="3">
        <v>523301</v>
      </c>
      <c r="B43" s="30">
        <v>523301</v>
      </c>
      <c r="C43" s="29" t="s">
        <v>24</v>
      </c>
      <c r="D43" s="28">
        <v>0</v>
      </c>
      <c r="E43" s="28">
        <v>0</v>
      </c>
      <c r="F43" s="28">
        <v>0</v>
      </c>
      <c r="G43" s="28">
        <v>222000</v>
      </c>
      <c r="H43" s="28">
        <v>0</v>
      </c>
      <c r="I43" s="28">
        <v>0</v>
      </c>
      <c r="J43" s="28">
        <v>0</v>
      </c>
      <c r="K43" s="28">
        <v>0</v>
      </c>
      <c r="L43" s="28">
        <v>0</v>
      </c>
      <c r="M43" s="28">
        <v>0</v>
      </c>
      <c r="N43" s="28">
        <v>0</v>
      </c>
      <c r="O43" s="28">
        <v>0</v>
      </c>
      <c r="P43" s="28">
        <v>0</v>
      </c>
      <c r="Q43" s="28">
        <v>0</v>
      </c>
      <c r="R43" s="28">
        <v>0</v>
      </c>
      <c r="S43" s="27">
        <v>0</v>
      </c>
      <c r="T43" s="27">
        <f t="shared" si="0"/>
        <v>222000</v>
      </c>
      <c r="U43" s="27">
        <v>157820</v>
      </c>
      <c r="V43" s="26">
        <f t="shared" si="1"/>
        <v>64180</v>
      </c>
      <c r="W43" s="23">
        <f t="shared" si="2"/>
        <v>0.40666582182232924</v>
      </c>
      <c r="X43" s="23"/>
      <c r="Y43" s="4"/>
      <c r="Z43" s="3"/>
    </row>
    <row r="44" spans="1:26" ht="12" customHeight="1" x14ac:dyDescent="0.2">
      <c r="A44" s="3">
        <v>523302</v>
      </c>
      <c r="B44" s="30">
        <v>523302</v>
      </c>
      <c r="C44" s="29" t="s">
        <v>77</v>
      </c>
      <c r="D44" s="28">
        <v>0</v>
      </c>
      <c r="E44" s="28">
        <v>0</v>
      </c>
      <c r="F44" s="28">
        <v>0</v>
      </c>
      <c r="G44" s="28">
        <v>0</v>
      </c>
      <c r="H44" s="28">
        <v>0</v>
      </c>
      <c r="I44" s="28">
        <v>0</v>
      </c>
      <c r="J44" s="28">
        <v>0</v>
      </c>
      <c r="K44" s="28">
        <v>1618782</v>
      </c>
      <c r="L44" s="28">
        <v>0</v>
      </c>
      <c r="M44" s="28">
        <v>0</v>
      </c>
      <c r="N44" s="28">
        <v>0</v>
      </c>
      <c r="O44" s="28">
        <v>0</v>
      </c>
      <c r="P44" s="28">
        <v>0</v>
      </c>
      <c r="Q44" s="28">
        <v>0</v>
      </c>
      <c r="R44" s="28">
        <v>0</v>
      </c>
      <c r="S44" s="27">
        <v>0</v>
      </c>
      <c r="T44" s="27">
        <f t="shared" si="0"/>
        <v>1618782</v>
      </c>
      <c r="U44" s="27">
        <v>1618782</v>
      </c>
      <c r="V44" s="26">
        <f t="shared" si="1"/>
        <v>0</v>
      </c>
      <c r="W44" s="23">
        <f t="shared" si="2"/>
        <v>0</v>
      </c>
      <c r="X44" s="23"/>
      <c r="Y44" s="4"/>
      <c r="Z44" s="3"/>
    </row>
    <row r="45" spans="1:26" ht="12" customHeight="1" x14ac:dyDescent="0.2">
      <c r="A45" s="3">
        <v>523303</v>
      </c>
      <c r="B45" s="30">
        <v>523303</v>
      </c>
      <c r="C45" s="29" t="s">
        <v>34</v>
      </c>
      <c r="D45" s="28">
        <v>0</v>
      </c>
      <c r="E45" s="28">
        <v>0</v>
      </c>
      <c r="F45" s="28">
        <v>0</v>
      </c>
      <c r="G45" s="28">
        <v>0</v>
      </c>
      <c r="H45" s="28">
        <v>0</v>
      </c>
      <c r="I45" s="28">
        <v>0</v>
      </c>
      <c r="J45" s="28">
        <v>0</v>
      </c>
      <c r="K45" s="28">
        <v>1250499</v>
      </c>
      <c r="L45" s="28">
        <v>0</v>
      </c>
      <c r="M45" s="28">
        <v>0</v>
      </c>
      <c r="N45" s="28">
        <v>0</v>
      </c>
      <c r="O45" s="28">
        <v>0</v>
      </c>
      <c r="P45" s="28">
        <v>0</v>
      </c>
      <c r="Q45" s="28">
        <v>0</v>
      </c>
      <c r="R45" s="28">
        <v>0</v>
      </c>
      <c r="S45" s="27">
        <v>0</v>
      </c>
      <c r="T45" s="27">
        <f t="shared" si="0"/>
        <v>1250499</v>
      </c>
      <c r="U45" s="27">
        <v>1250499</v>
      </c>
      <c r="V45" s="26">
        <f t="shared" si="1"/>
        <v>0</v>
      </c>
      <c r="W45" s="23">
        <f t="shared" si="2"/>
        <v>0</v>
      </c>
      <c r="X45" s="23"/>
      <c r="Y45" s="4"/>
      <c r="Z45" s="3"/>
    </row>
    <row r="46" spans="1:26" ht="12" customHeight="1" x14ac:dyDescent="0.2">
      <c r="A46" s="3">
        <v>523304</v>
      </c>
      <c r="B46" s="30">
        <v>523304</v>
      </c>
      <c r="C46" s="29" t="s">
        <v>35</v>
      </c>
      <c r="D46" s="28">
        <v>164</v>
      </c>
      <c r="E46" s="28">
        <v>0</v>
      </c>
      <c r="F46" s="28">
        <v>0</v>
      </c>
      <c r="G46" s="28">
        <v>14500</v>
      </c>
      <c r="H46" s="28">
        <v>0</v>
      </c>
      <c r="I46" s="28">
        <v>0</v>
      </c>
      <c r="J46" s="28">
        <v>106800</v>
      </c>
      <c r="K46" s="28">
        <v>1245841</v>
      </c>
      <c r="L46" s="28">
        <v>0</v>
      </c>
      <c r="M46" s="28">
        <v>0</v>
      </c>
      <c r="N46" s="28">
        <v>252382</v>
      </c>
      <c r="O46" s="28">
        <v>0</v>
      </c>
      <c r="P46" s="28">
        <v>0</v>
      </c>
      <c r="Q46" s="28">
        <v>0</v>
      </c>
      <c r="R46" s="28">
        <v>0</v>
      </c>
      <c r="S46" s="27">
        <v>5080</v>
      </c>
      <c r="T46" s="27">
        <f t="shared" si="0"/>
        <v>1624767</v>
      </c>
      <c r="U46" s="27">
        <v>1672489.84</v>
      </c>
      <c r="V46" s="26">
        <f t="shared" si="1"/>
        <v>-47722.840000000084</v>
      </c>
      <c r="W46" s="23">
        <f t="shared" si="2"/>
        <v>-2.8534008912125937E-2</v>
      </c>
      <c r="X46" s="23"/>
      <c r="Y46" s="4"/>
      <c r="Z46" s="3"/>
    </row>
    <row r="47" spans="1:26" ht="12" customHeight="1" x14ac:dyDescent="0.2">
      <c r="A47" s="3">
        <v>523305</v>
      </c>
      <c r="B47" s="30">
        <v>523305</v>
      </c>
      <c r="C47" s="29" t="s">
        <v>25</v>
      </c>
      <c r="D47" s="28">
        <v>0</v>
      </c>
      <c r="E47" s="28">
        <v>0</v>
      </c>
      <c r="F47" s="28">
        <v>0</v>
      </c>
      <c r="G47" s="28">
        <v>0</v>
      </c>
      <c r="H47" s="28">
        <v>0</v>
      </c>
      <c r="I47" s="28">
        <v>0</v>
      </c>
      <c r="J47" s="28">
        <v>0</v>
      </c>
      <c r="K47" s="28">
        <v>54678</v>
      </c>
      <c r="L47" s="28">
        <v>0</v>
      </c>
      <c r="M47" s="28">
        <v>0</v>
      </c>
      <c r="N47" s="28">
        <v>0</v>
      </c>
      <c r="O47" s="28">
        <v>0</v>
      </c>
      <c r="P47" s="28">
        <v>0</v>
      </c>
      <c r="Q47" s="28">
        <v>0</v>
      </c>
      <c r="R47" s="28">
        <v>0</v>
      </c>
      <c r="S47" s="27">
        <v>0</v>
      </c>
      <c r="T47" s="27">
        <f t="shared" si="0"/>
        <v>54678</v>
      </c>
      <c r="U47" s="27">
        <v>331</v>
      </c>
      <c r="V47" s="26">
        <f t="shared" si="1"/>
        <v>54347</v>
      </c>
      <c r="W47" s="23">
        <f t="shared" si="2"/>
        <v>164.19033232628399</v>
      </c>
      <c r="X47" s="23"/>
      <c r="Y47" s="4"/>
      <c r="Z47" s="3"/>
    </row>
    <row r="48" spans="1:26" ht="12" customHeight="1" x14ac:dyDescent="0.2">
      <c r="A48" s="3">
        <v>523401</v>
      </c>
      <c r="B48" s="30">
        <v>523401</v>
      </c>
      <c r="C48" s="29" t="s">
        <v>36</v>
      </c>
      <c r="D48" s="28">
        <v>2900</v>
      </c>
      <c r="E48" s="28">
        <v>0</v>
      </c>
      <c r="F48" s="28">
        <v>0</v>
      </c>
      <c r="G48" s="28">
        <v>0</v>
      </c>
      <c r="H48" s="28">
        <v>0</v>
      </c>
      <c r="I48" s="28">
        <v>0</v>
      </c>
      <c r="J48" s="28">
        <v>0</v>
      </c>
      <c r="K48" s="28">
        <v>5931</v>
      </c>
      <c r="L48" s="28">
        <v>0</v>
      </c>
      <c r="M48" s="28">
        <v>6186</v>
      </c>
      <c r="N48" s="28">
        <v>184894</v>
      </c>
      <c r="O48" s="28">
        <v>0</v>
      </c>
      <c r="P48" s="28">
        <v>0</v>
      </c>
      <c r="Q48" s="28">
        <v>0</v>
      </c>
      <c r="R48" s="28">
        <v>0</v>
      </c>
      <c r="S48" s="27">
        <v>0</v>
      </c>
      <c r="T48" s="27">
        <f t="shared" si="0"/>
        <v>199911</v>
      </c>
      <c r="U48" s="27">
        <v>161266</v>
      </c>
      <c r="V48" s="26">
        <f t="shared" si="1"/>
        <v>38645</v>
      </c>
      <c r="W48" s="23">
        <f t="shared" si="2"/>
        <v>0.23963513697865638</v>
      </c>
      <c r="X48" s="23"/>
      <c r="Y48" s="4"/>
      <c r="Z48" s="3"/>
    </row>
    <row r="49" spans="1:26" ht="12" customHeight="1" x14ac:dyDescent="0.2">
      <c r="A49" s="3">
        <v>523402</v>
      </c>
      <c r="B49" s="30">
        <v>523402</v>
      </c>
      <c r="C49" s="29" t="s">
        <v>37</v>
      </c>
      <c r="D49" s="28">
        <v>0</v>
      </c>
      <c r="E49" s="28">
        <v>0</v>
      </c>
      <c r="F49" s="28">
        <v>0</v>
      </c>
      <c r="G49" s="28">
        <v>0</v>
      </c>
      <c r="H49" s="28">
        <v>0</v>
      </c>
      <c r="I49" s="28">
        <v>0</v>
      </c>
      <c r="J49" s="28">
        <v>0</v>
      </c>
      <c r="K49" s="28">
        <v>25</v>
      </c>
      <c r="L49" s="28">
        <v>0</v>
      </c>
      <c r="M49" s="28">
        <v>0</v>
      </c>
      <c r="N49" s="28">
        <v>0</v>
      </c>
      <c r="O49" s="28">
        <v>0</v>
      </c>
      <c r="P49" s="28">
        <v>0</v>
      </c>
      <c r="Q49" s="28">
        <v>0</v>
      </c>
      <c r="R49" s="28">
        <v>0</v>
      </c>
      <c r="S49" s="27">
        <v>0</v>
      </c>
      <c r="T49" s="27">
        <f t="shared" si="0"/>
        <v>25</v>
      </c>
      <c r="U49" s="27">
        <v>16155</v>
      </c>
      <c r="V49" s="26">
        <f t="shared" si="1"/>
        <v>-16130</v>
      </c>
      <c r="W49" s="23">
        <f t="shared" si="2"/>
        <v>-0.99845249148870319</v>
      </c>
      <c r="X49" s="23"/>
      <c r="Y49" s="4"/>
      <c r="Z49" s="3"/>
    </row>
    <row r="50" spans="1:26" ht="12" customHeight="1" x14ac:dyDescent="0.2">
      <c r="A50" s="3">
        <v>523501</v>
      </c>
      <c r="B50" s="30">
        <v>523501</v>
      </c>
      <c r="C50" s="29" t="s">
        <v>26</v>
      </c>
      <c r="D50" s="28">
        <v>5826</v>
      </c>
      <c r="E50" s="28">
        <v>20000</v>
      </c>
      <c r="F50" s="28">
        <v>4926</v>
      </c>
      <c r="G50" s="28">
        <v>2000</v>
      </c>
      <c r="H50" s="28">
        <v>5000</v>
      </c>
      <c r="I50" s="28">
        <v>2804</v>
      </c>
      <c r="J50" s="28">
        <v>15620</v>
      </c>
      <c r="K50" s="28">
        <v>45822</v>
      </c>
      <c r="L50" s="28">
        <v>0</v>
      </c>
      <c r="M50" s="28">
        <v>1633</v>
      </c>
      <c r="N50" s="28">
        <v>19749</v>
      </c>
      <c r="O50" s="28">
        <v>47500</v>
      </c>
      <c r="P50" s="28">
        <v>22100</v>
      </c>
      <c r="Q50" s="28">
        <v>40900</v>
      </c>
      <c r="R50" s="28">
        <v>5000</v>
      </c>
      <c r="S50" s="27">
        <v>9295</v>
      </c>
      <c r="T50" s="27">
        <f t="shared" si="0"/>
        <v>248175</v>
      </c>
      <c r="U50" s="27">
        <v>110868.29</v>
      </c>
      <c r="V50" s="26">
        <f t="shared" si="1"/>
        <v>137306.71000000002</v>
      </c>
      <c r="W50" s="23">
        <f t="shared" si="2"/>
        <v>1.2384669232293564</v>
      </c>
      <c r="X50" s="23"/>
      <c r="Y50" s="4"/>
      <c r="Z50" s="3"/>
    </row>
    <row r="51" spans="1:26" ht="12" customHeight="1" x14ac:dyDescent="0.2">
      <c r="A51" s="3">
        <v>523601</v>
      </c>
      <c r="B51" s="30">
        <v>523601</v>
      </c>
      <c r="C51" s="29" t="s">
        <v>27</v>
      </c>
      <c r="D51" s="28">
        <v>6289</v>
      </c>
      <c r="E51" s="28">
        <v>60000</v>
      </c>
      <c r="F51" s="28">
        <v>9500</v>
      </c>
      <c r="G51" s="28">
        <v>5350</v>
      </c>
      <c r="H51" s="28">
        <v>5100</v>
      </c>
      <c r="I51" s="28">
        <v>77111</v>
      </c>
      <c r="J51" s="28">
        <v>68397.25</v>
      </c>
      <c r="K51" s="28">
        <v>16839</v>
      </c>
      <c r="L51" s="28">
        <v>1562</v>
      </c>
      <c r="M51" s="28">
        <v>475</v>
      </c>
      <c r="N51" s="28">
        <v>4429</v>
      </c>
      <c r="O51" s="28">
        <v>5150</v>
      </c>
      <c r="P51" s="28">
        <v>32635</v>
      </c>
      <c r="Q51" s="28">
        <v>16700</v>
      </c>
      <c r="R51" s="28">
        <v>1157</v>
      </c>
      <c r="S51" s="27">
        <v>4805</v>
      </c>
      <c r="T51" s="27">
        <f t="shared" si="0"/>
        <v>315499.25</v>
      </c>
      <c r="U51" s="27">
        <v>303003.05</v>
      </c>
      <c r="V51" s="26">
        <f t="shared" si="1"/>
        <v>12496.200000000012</v>
      </c>
      <c r="W51" s="23">
        <f t="shared" si="2"/>
        <v>4.1241169024536263E-2</v>
      </c>
      <c r="X51" s="23"/>
      <c r="Y51" s="4"/>
      <c r="Z51" s="3"/>
    </row>
    <row r="52" spans="1:26" ht="12" customHeight="1" x14ac:dyDescent="0.2">
      <c r="A52" s="3">
        <v>523701</v>
      </c>
      <c r="B52" s="30">
        <v>523701</v>
      </c>
      <c r="C52" s="29" t="s">
        <v>60</v>
      </c>
      <c r="D52" s="28">
        <v>3823</v>
      </c>
      <c r="E52" s="28">
        <v>2628</v>
      </c>
      <c r="F52" s="28">
        <v>0</v>
      </c>
      <c r="G52" s="28">
        <v>41000</v>
      </c>
      <c r="H52" s="28">
        <v>12000</v>
      </c>
      <c r="I52" s="28">
        <v>3423</v>
      </c>
      <c r="J52" s="28">
        <v>13844</v>
      </c>
      <c r="K52" s="28">
        <v>11454</v>
      </c>
      <c r="L52" s="28">
        <v>0</v>
      </c>
      <c r="M52" s="28">
        <v>1821</v>
      </c>
      <c r="N52" s="28">
        <v>29200</v>
      </c>
      <c r="O52" s="28">
        <v>77500</v>
      </c>
      <c r="P52" s="28">
        <v>43302</v>
      </c>
      <c r="Q52" s="28">
        <v>12209</v>
      </c>
      <c r="R52" s="28">
        <v>10486</v>
      </c>
      <c r="S52" s="27">
        <v>25837.399999999998</v>
      </c>
      <c r="T52" s="27">
        <f t="shared" si="0"/>
        <v>288527.40000000002</v>
      </c>
      <c r="U52" s="27">
        <v>171171.18</v>
      </c>
      <c r="V52" s="26">
        <f t="shared" si="1"/>
        <v>117356.22000000003</v>
      </c>
      <c r="W52" s="23">
        <f t="shared" si="2"/>
        <v>0.68560735516341031</v>
      </c>
      <c r="X52" s="23"/>
      <c r="Y52" s="4"/>
      <c r="Z52" s="3"/>
    </row>
    <row r="53" spans="1:26" ht="12" customHeight="1" x14ac:dyDescent="0.2">
      <c r="A53" s="3">
        <v>523801</v>
      </c>
      <c r="B53" s="30">
        <v>523801</v>
      </c>
      <c r="C53" s="29" t="s">
        <v>50</v>
      </c>
      <c r="D53" s="28">
        <v>644</v>
      </c>
      <c r="E53" s="28">
        <v>0</v>
      </c>
      <c r="F53" s="28">
        <v>0</v>
      </c>
      <c r="G53" s="28">
        <v>0</v>
      </c>
      <c r="H53" s="28">
        <v>1055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28">
        <v>9473</v>
      </c>
      <c r="Q53" s="28">
        <v>0</v>
      </c>
      <c r="R53" s="28">
        <v>667</v>
      </c>
      <c r="S53" s="27">
        <v>0</v>
      </c>
      <c r="T53" s="27">
        <f t="shared" si="0"/>
        <v>11839</v>
      </c>
      <c r="U53" s="27">
        <v>9664.3333310000016</v>
      </c>
      <c r="V53" s="26">
        <f t="shared" si="1"/>
        <v>2174.6666689999984</v>
      </c>
      <c r="W53" s="23">
        <f t="shared" si="2"/>
        <v>0.22501983266909711</v>
      </c>
      <c r="X53" s="23"/>
      <c r="Y53" s="4"/>
      <c r="Z53" s="3"/>
    </row>
    <row r="54" spans="1:26" ht="12" customHeight="1" x14ac:dyDescent="0.2">
      <c r="A54" s="3">
        <v>523851</v>
      </c>
      <c r="B54" s="30">
        <v>523851</v>
      </c>
      <c r="C54" s="29" t="s">
        <v>46</v>
      </c>
      <c r="D54" s="28">
        <v>0</v>
      </c>
      <c r="E54" s="28">
        <v>0</v>
      </c>
      <c r="F54" s="28">
        <v>0</v>
      </c>
      <c r="G54" s="28">
        <v>6366</v>
      </c>
      <c r="H54" s="28">
        <v>0</v>
      </c>
      <c r="I54" s="28">
        <v>0</v>
      </c>
      <c r="J54" s="28">
        <v>0</v>
      </c>
      <c r="K54" s="28">
        <v>0</v>
      </c>
      <c r="L54" s="28">
        <v>0</v>
      </c>
      <c r="M54" s="28">
        <v>0</v>
      </c>
      <c r="N54" s="28">
        <v>16500000</v>
      </c>
      <c r="O54" s="28">
        <v>90000</v>
      </c>
      <c r="P54" s="28">
        <v>77000</v>
      </c>
      <c r="Q54" s="28">
        <v>0</v>
      </c>
      <c r="R54" s="28">
        <v>0</v>
      </c>
      <c r="S54" s="27">
        <v>0</v>
      </c>
      <c r="T54" s="27">
        <f t="shared" si="0"/>
        <v>16673366</v>
      </c>
      <c r="U54" s="27">
        <v>16173366</v>
      </c>
      <c r="V54" s="26">
        <f t="shared" si="1"/>
        <v>500000</v>
      </c>
      <c r="W54" s="23">
        <f t="shared" si="2"/>
        <v>3.0915024120520121E-2</v>
      </c>
      <c r="X54" s="23"/>
      <c r="Y54" s="4"/>
      <c r="Z54" s="3"/>
    </row>
    <row r="55" spans="1:26" ht="12" customHeight="1" x14ac:dyDescent="0.2">
      <c r="A55" s="3">
        <v>523902</v>
      </c>
      <c r="B55" s="30">
        <v>523902</v>
      </c>
      <c r="C55" s="29" t="s">
        <v>28</v>
      </c>
      <c r="D55" s="28">
        <v>0</v>
      </c>
      <c r="E55" s="28">
        <v>0</v>
      </c>
      <c r="F55" s="28">
        <v>0</v>
      </c>
      <c r="G55" s="28">
        <v>0</v>
      </c>
      <c r="H55" s="28">
        <v>0</v>
      </c>
      <c r="I55" s="28">
        <v>0</v>
      </c>
      <c r="J55" s="28">
        <v>0</v>
      </c>
      <c r="K55" s="28">
        <v>0</v>
      </c>
      <c r="L55" s="28">
        <v>0</v>
      </c>
      <c r="M55" s="28">
        <v>0</v>
      </c>
      <c r="N55" s="28">
        <v>0</v>
      </c>
      <c r="O55" s="28">
        <v>0</v>
      </c>
      <c r="P55" s="28">
        <v>0</v>
      </c>
      <c r="Q55" s="28">
        <v>0</v>
      </c>
      <c r="R55" s="28">
        <v>0</v>
      </c>
      <c r="S55" s="27">
        <v>9800</v>
      </c>
      <c r="T55" s="27">
        <f t="shared" si="0"/>
        <v>9800</v>
      </c>
      <c r="U55" s="27">
        <v>6182</v>
      </c>
      <c r="V55" s="26">
        <f t="shared" si="1"/>
        <v>3618</v>
      </c>
      <c r="W55" s="23">
        <f t="shared" si="2"/>
        <v>0.58524749272080234</v>
      </c>
      <c r="X55" s="23"/>
      <c r="Y55" s="4"/>
      <c r="Z55" s="3"/>
    </row>
    <row r="56" spans="1:26" ht="12" customHeight="1" x14ac:dyDescent="0.2">
      <c r="A56" s="3">
        <v>531101</v>
      </c>
      <c r="B56" s="30">
        <v>531101</v>
      </c>
      <c r="C56" s="29" t="s">
        <v>29</v>
      </c>
      <c r="D56" s="28">
        <v>5442</v>
      </c>
      <c r="E56" s="28">
        <v>400</v>
      </c>
      <c r="F56" s="28">
        <v>2020</v>
      </c>
      <c r="G56" s="28">
        <v>4963</v>
      </c>
      <c r="H56" s="28">
        <v>850</v>
      </c>
      <c r="I56" s="28">
        <v>42129</v>
      </c>
      <c r="J56" s="28">
        <v>5684</v>
      </c>
      <c r="K56" s="28">
        <v>5583</v>
      </c>
      <c r="L56" s="28">
        <v>246076</v>
      </c>
      <c r="M56" s="28">
        <v>883</v>
      </c>
      <c r="N56" s="28">
        <v>52611</v>
      </c>
      <c r="O56" s="28">
        <v>22200</v>
      </c>
      <c r="P56" s="28">
        <v>19600</v>
      </c>
      <c r="Q56" s="28">
        <v>55000</v>
      </c>
      <c r="R56" s="28">
        <v>2041</v>
      </c>
      <c r="S56" s="27">
        <v>9854</v>
      </c>
      <c r="T56" s="27">
        <f t="shared" si="0"/>
        <v>475336</v>
      </c>
      <c r="U56" s="27">
        <v>462910</v>
      </c>
      <c r="V56" s="26">
        <f t="shared" si="1"/>
        <v>12426</v>
      </c>
      <c r="W56" s="23">
        <f t="shared" si="2"/>
        <v>2.6843230865611026E-2</v>
      </c>
      <c r="X56" s="23"/>
      <c r="Y56" s="4"/>
      <c r="Z56" s="3"/>
    </row>
    <row r="57" spans="1:26" ht="12" customHeight="1" x14ac:dyDescent="0.2">
      <c r="A57" s="3">
        <v>531102</v>
      </c>
      <c r="B57" s="30">
        <v>531102</v>
      </c>
      <c r="C57" s="29" t="s">
        <v>51</v>
      </c>
      <c r="D57" s="28">
        <v>0</v>
      </c>
      <c r="E57" s="28">
        <v>0</v>
      </c>
      <c r="F57" s="28">
        <v>0</v>
      </c>
      <c r="G57" s="28">
        <v>0</v>
      </c>
      <c r="H57" s="28">
        <v>0</v>
      </c>
      <c r="I57" s="28">
        <v>0</v>
      </c>
      <c r="J57" s="28">
        <v>0</v>
      </c>
      <c r="K57" s="28">
        <v>948</v>
      </c>
      <c r="L57" s="28">
        <v>0</v>
      </c>
      <c r="M57" s="28">
        <v>0</v>
      </c>
      <c r="N57" s="28">
        <v>0</v>
      </c>
      <c r="O57" s="28">
        <v>64000</v>
      </c>
      <c r="P57" s="28">
        <v>5241925</v>
      </c>
      <c r="Q57" s="28">
        <v>0</v>
      </c>
      <c r="R57" s="28">
        <v>0</v>
      </c>
      <c r="S57" s="27">
        <v>126755.48</v>
      </c>
      <c r="T57" s="27">
        <f t="shared" si="0"/>
        <v>5433628.4800000004</v>
      </c>
      <c r="U57" s="27">
        <v>3757954</v>
      </c>
      <c r="V57" s="26">
        <f t="shared" si="1"/>
        <v>1675674.4800000004</v>
      </c>
      <c r="W57" s="23">
        <f t="shared" si="2"/>
        <v>0.44590074279780978</v>
      </c>
      <c r="X57" s="23"/>
      <c r="Y57" s="4"/>
      <c r="Z57" s="3"/>
    </row>
    <row r="58" spans="1:26" ht="12" customHeight="1" x14ac:dyDescent="0.2">
      <c r="A58" s="3">
        <v>531103</v>
      </c>
      <c r="B58" s="30">
        <v>531103</v>
      </c>
      <c r="C58" s="29" t="s">
        <v>61</v>
      </c>
      <c r="D58" s="28">
        <v>0</v>
      </c>
      <c r="E58" s="28">
        <v>0</v>
      </c>
      <c r="F58" s="28">
        <v>0</v>
      </c>
      <c r="G58" s="28">
        <v>0</v>
      </c>
      <c r="H58" s="28">
        <v>0</v>
      </c>
      <c r="I58" s="28">
        <v>0</v>
      </c>
      <c r="J58" s="28">
        <v>0</v>
      </c>
      <c r="K58" s="28">
        <v>0</v>
      </c>
      <c r="L58" s="28">
        <v>0</v>
      </c>
      <c r="M58" s="28">
        <v>0</v>
      </c>
      <c r="N58" s="28">
        <v>0</v>
      </c>
      <c r="O58" s="28">
        <v>0</v>
      </c>
      <c r="P58" s="28">
        <v>1324400</v>
      </c>
      <c r="Q58" s="28">
        <v>0</v>
      </c>
      <c r="R58" s="28">
        <v>0</v>
      </c>
      <c r="S58" s="27">
        <v>0</v>
      </c>
      <c r="T58" s="27">
        <f t="shared" si="0"/>
        <v>1324400</v>
      </c>
      <c r="U58" s="27">
        <v>1125022</v>
      </c>
      <c r="V58" s="26">
        <f t="shared" si="1"/>
        <v>199378</v>
      </c>
      <c r="W58" s="23">
        <f t="shared" si="2"/>
        <v>0.17722142322550136</v>
      </c>
      <c r="X58" s="23"/>
      <c r="Y58" s="4"/>
      <c r="Z58" s="3"/>
    </row>
    <row r="59" spans="1:26" ht="12" customHeight="1" x14ac:dyDescent="0.2">
      <c r="A59" s="3">
        <v>531105</v>
      </c>
      <c r="B59" s="30">
        <v>531105</v>
      </c>
      <c r="C59" s="29" t="s">
        <v>30</v>
      </c>
      <c r="D59" s="28">
        <v>420</v>
      </c>
      <c r="E59" s="28">
        <v>58</v>
      </c>
      <c r="F59" s="28">
        <v>1257</v>
      </c>
      <c r="G59" s="28">
        <v>483</v>
      </c>
      <c r="H59" s="28">
        <v>0</v>
      </c>
      <c r="I59" s="28">
        <v>472</v>
      </c>
      <c r="J59" s="28">
        <v>90</v>
      </c>
      <c r="K59" s="28">
        <v>332</v>
      </c>
      <c r="L59" s="28">
        <v>0</v>
      </c>
      <c r="M59" s="28">
        <v>352</v>
      </c>
      <c r="N59" s="28">
        <v>8250</v>
      </c>
      <c r="O59" s="28">
        <v>0</v>
      </c>
      <c r="P59" s="28">
        <v>400</v>
      </c>
      <c r="Q59" s="28">
        <v>215</v>
      </c>
      <c r="R59" s="28">
        <v>407</v>
      </c>
      <c r="S59" s="27">
        <v>106</v>
      </c>
      <c r="T59" s="27">
        <f t="shared" si="0"/>
        <v>12842</v>
      </c>
      <c r="U59" s="27">
        <v>12169.3</v>
      </c>
      <c r="V59" s="26">
        <f t="shared" si="1"/>
        <v>672.70000000000073</v>
      </c>
      <c r="W59" s="23">
        <f t="shared" si="2"/>
        <v>5.5278446582794474E-2</v>
      </c>
      <c r="X59" s="23"/>
      <c r="Y59" s="4"/>
      <c r="Z59" s="3"/>
    </row>
    <row r="60" spans="1:26" ht="12" customHeight="1" x14ac:dyDescent="0.2">
      <c r="A60" s="3">
        <v>531106</v>
      </c>
      <c r="B60" s="30">
        <v>531106</v>
      </c>
      <c r="C60" s="29" t="s">
        <v>99</v>
      </c>
      <c r="D60" s="28">
        <v>0</v>
      </c>
      <c r="E60" s="28">
        <v>0</v>
      </c>
      <c r="F60" s="28">
        <v>0</v>
      </c>
      <c r="G60" s="28">
        <v>0</v>
      </c>
      <c r="H60" s="28">
        <v>0</v>
      </c>
      <c r="I60" s="28">
        <v>0</v>
      </c>
      <c r="J60" s="28">
        <v>0</v>
      </c>
      <c r="K60" s="28">
        <v>0</v>
      </c>
      <c r="L60" s="28">
        <v>0</v>
      </c>
      <c r="M60" s="28">
        <v>0</v>
      </c>
      <c r="N60" s="28">
        <v>0</v>
      </c>
      <c r="O60" s="28">
        <v>1888500</v>
      </c>
      <c r="P60" s="28">
        <v>0</v>
      </c>
      <c r="Q60" s="28">
        <v>0</v>
      </c>
      <c r="R60" s="28">
        <v>0</v>
      </c>
      <c r="S60" s="27">
        <v>0</v>
      </c>
      <c r="T60" s="27">
        <f t="shared" si="0"/>
        <v>1888500</v>
      </c>
      <c r="U60" s="27">
        <v>1888500</v>
      </c>
      <c r="V60" s="26">
        <f t="shared" si="1"/>
        <v>0</v>
      </c>
      <c r="W60" s="23">
        <f t="shared" si="2"/>
        <v>0</v>
      </c>
      <c r="X60" s="23"/>
      <c r="Y60" s="4"/>
      <c r="Z60" s="3"/>
    </row>
    <row r="61" spans="1:26" ht="12" customHeight="1" x14ac:dyDescent="0.2">
      <c r="A61" s="3">
        <v>531107</v>
      </c>
      <c r="B61" s="30">
        <v>531107</v>
      </c>
      <c r="C61" s="29" t="s">
        <v>52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8">
        <v>0</v>
      </c>
      <c r="O61" s="28">
        <v>0</v>
      </c>
      <c r="P61" s="28">
        <v>2010000</v>
      </c>
      <c r="Q61" s="28">
        <v>0</v>
      </c>
      <c r="R61" s="28">
        <v>0</v>
      </c>
      <c r="S61" s="27">
        <v>0</v>
      </c>
      <c r="T61" s="27">
        <f t="shared" si="0"/>
        <v>2010000</v>
      </c>
      <c r="U61" s="27">
        <v>1223000</v>
      </c>
      <c r="V61" s="26">
        <f t="shared" si="1"/>
        <v>787000</v>
      </c>
      <c r="W61" s="23">
        <f t="shared" si="2"/>
        <v>0.64349959116925592</v>
      </c>
      <c r="X61" s="23"/>
      <c r="Y61" s="4"/>
      <c r="Z61" s="3"/>
    </row>
    <row r="62" spans="1:26" ht="12" customHeight="1" x14ac:dyDescent="0.2">
      <c r="A62" s="3">
        <v>531211</v>
      </c>
      <c r="B62" s="30">
        <v>531211</v>
      </c>
      <c r="C62" s="29" t="s">
        <v>53</v>
      </c>
      <c r="D62" s="28">
        <v>0</v>
      </c>
      <c r="E62" s="28">
        <v>0</v>
      </c>
      <c r="F62" s="28">
        <v>0</v>
      </c>
      <c r="G62" s="28">
        <v>0</v>
      </c>
      <c r="H62" s="28">
        <v>0</v>
      </c>
      <c r="I62" s="28">
        <v>0</v>
      </c>
      <c r="J62" s="28">
        <v>0</v>
      </c>
      <c r="K62" s="28">
        <v>0</v>
      </c>
      <c r="L62" s="28">
        <v>0</v>
      </c>
      <c r="M62" s="28">
        <v>0</v>
      </c>
      <c r="N62" s="28">
        <v>0</v>
      </c>
      <c r="O62" s="28">
        <v>0</v>
      </c>
      <c r="P62" s="28">
        <v>883696</v>
      </c>
      <c r="Q62" s="28">
        <v>0</v>
      </c>
      <c r="R62" s="28">
        <v>0</v>
      </c>
      <c r="S62" s="27">
        <v>0</v>
      </c>
      <c r="T62" s="27">
        <f t="shared" si="0"/>
        <v>883696</v>
      </c>
      <c r="U62" s="27">
        <v>883696</v>
      </c>
      <c r="V62" s="26">
        <f t="shared" si="1"/>
        <v>0</v>
      </c>
      <c r="W62" s="23">
        <f t="shared" si="2"/>
        <v>0</v>
      </c>
      <c r="X62" s="23"/>
      <c r="Y62" s="4"/>
      <c r="Z62" s="3"/>
    </row>
    <row r="63" spans="1:26" ht="12" customHeight="1" x14ac:dyDescent="0.2">
      <c r="A63" s="3">
        <v>531221</v>
      </c>
      <c r="B63" s="30">
        <v>531221</v>
      </c>
      <c r="C63" s="29" t="s">
        <v>54</v>
      </c>
      <c r="D63" s="28">
        <v>0</v>
      </c>
      <c r="E63" s="28">
        <v>0</v>
      </c>
      <c r="F63" s="28">
        <v>0</v>
      </c>
      <c r="G63" s="28">
        <v>0</v>
      </c>
      <c r="H63" s="28">
        <v>0</v>
      </c>
      <c r="I63" s="28">
        <v>0</v>
      </c>
      <c r="J63" s="28">
        <v>0</v>
      </c>
      <c r="K63" s="28">
        <v>0</v>
      </c>
      <c r="L63" s="28">
        <v>0</v>
      </c>
      <c r="M63" s="28">
        <v>0</v>
      </c>
      <c r="N63" s="28">
        <v>0</v>
      </c>
      <c r="O63" s="28">
        <v>0</v>
      </c>
      <c r="P63" s="28">
        <v>29108</v>
      </c>
      <c r="Q63" s="28">
        <v>0</v>
      </c>
      <c r="R63" s="28">
        <v>0</v>
      </c>
      <c r="S63" s="27">
        <v>0</v>
      </c>
      <c r="T63" s="27">
        <f t="shared" si="0"/>
        <v>29108</v>
      </c>
      <c r="U63" s="27">
        <v>29108</v>
      </c>
      <c r="V63" s="26">
        <f t="shared" si="1"/>
        <v>0</v>
      </c>
      <c r="W63" s="23">
        <f t="shared" si="2"/>
        <v>0</v>
      </c>
      <c r="X63" s="23"/>
      <c r="Y63" s="4"/>
      <c r="Z63" s="3"/>
    </row>
    <row r="64" spans="1:26" ht="12" customHeight="1" x14ac:dyDescent="0.2">
      <c r="A64" s="3">
        <v>531231</v>
      </c>
      <c r="B64" s="30">
        <v>531231</v>
      </c>
      <c r="C64" s="29" t="s">
        <v>55</v>
      </c>
      <c r="D64" s="28">
        <v>0</v>
      </c>
      <c r="E64" s="28">
        <v>0</v>
      </c>
      <c r="F64" s="28">
        <v>0</v>
      </c>
      <c r="G64" s="28">
        <v>0</v>
      </c>
      <c r="H64" s="28">
        <v>0</v>
      </c>
      <c r="I64" s="28">
        <v>0</v>
      </c>
      <c r="J64" s="28">
        <v>0</v>
      </c>
      <c r="K64" s="28">
        <v>0</v>
      </c>
      <c r="L64" s="28">
        <v>0</v>
      </c>
      <c r="M64" s="28">
        <v>0</v>
      </c>
      <c r="N64" s="28">
        <v>0</v>
      </c>
      <c r="O64" s="28">
        <v>0</v>
      </c>
      <c r="P64" s="28">
        <v>2900000</v>
      </c>
      <c r="Q64" s="28">
        <v>0</v>
      </c>
      <c r="R64" s="28">
        <v>0</v>
      </c>
      <c r="S64" s="27">
        <v>0</v>
      </c>
      <c r="T64" s="27">
        <f t="shared" si="0"/>
        <v>2900000</v>
      </c>
      <c r="U64" s="27">
        <v>2288029</v>
      </c>
      <c r="V64" s="26">
        <f t="shared" si="1"/>
        <v>611971</v>
      </c>
      <c r="W64" s="23">
        <f t="shared" si="2"/>
        <v>0.26746645256681623</v>
      </c>
      <c r="X64" s="23"/>
      <c r="Y64" s="4"/>
      <c r="Z64" s="3"/>
    </row>
    <row r="65" spans="1:26" ht="12" customHeight="1" x14ac:dyDescent="0.2">
      <c r="B65" s="30">
        <v>531261</v>
      </c>
      <c r="C65" s="29" t="s">
        <v>98</v>
      </c>
      <c r="D65" s="28">
        <v>0</v>
      </c>
      <c r="E65" s="28">
        <v>0</v>
      </c>
      <c r="F65" s="28">
        <v>0</v>
      </c>
      <c r="G65" s="28">
        <v>0</v>
      </c>
      <c r="H65" s="28">
        <v>0</v>
      </c>
      <c r="I65" s="28">
        <v>0</v>
      </c>
      <c r="J65" s="28">
        <v>0</v>
      </c>
      <c r="K65" s="28">
        <v>0</v>
      </c>
      <c r="L65" s="28">
        <v>0</v>
      </c>
      <c r="M65" s="28">
        <v>0</v>
      </c>
      <c r="N65" s="28">
        <v>0</v>
      </c>
      <c r="O65" s="28">
        <v>0</v>
      </c>
      <c r="P65" s="28">
        <v>0</v>
      </c>
      <c r="Q65" s="28">
        <v>0</v>
      </c>
      <c r="R65" s="28">
        <v>948750</v>
      </c>
      <c r="S65" s="27">
        <v>0</v>
      </c>
      <c r="T65" s="27">
        <f t="shared" si="0"/>
        <v>948750</v>
      </c>
      <c r="U65" s="28">
        <v>983348</v>
      </c>
      <c r="V65" s="26">
        <f t="shared" si="1"/>
        <v>-34598</v>
      </c>
      <c r="W65" s="23">
        <f t="shared" si="2"/>
        <v>-3.5183882003115889E-2</v>
      </c>
      <c r="X65" s="23"/>
      <c r="Y65" s="4"/>
      <c r="Z65" s="3"/>
    </row>
    <row r="66" spans="1:26" ht="12" customHeight="1" x14ac:dyDescent="0.2">
      <c r="A66" s="3">
        <v>531401</v>
      </c>
      <c r="B66" s="30">
        <v>531401</v>
      </c>
      <c r="C66" s="29" t="s">
        <v>31</v>
      </c>
      <c r="D66" s="28">
        <v>0</v>
      </c>
      <c r="E66" s="28">
        <v>0</v>
      </c>
      <c r="F66" s="28">
        <v>0</v>
      </c>
      <c r="G66" s="28">
        <v>0</v>
      </c>
      <c r="H66" s="28">
        <v>250</v>
      </c>
      <c r="I66" s="28">
        <v>0</v>
      </c>
      <c r="J66" s="28">
        <v>0</v>
      </c>
      <c r="K66" s="28">
        <v>0</v>
      </c>
      <c r="L66" s="28">
        <v>0</v>
      </c>
      <c r="M66" s="28">
        <v>0</v>
      </c>
      <c r="N66" s="28">
        <v>0</v>
      </c>
      <c r="O66" s="28">
        <v>0</v>
      </c>
      <c r="P66" s="28">
        <v>0</v>
      </c>
      <c r="Q66" s="28">
        <v>0</v>
      </c>
      <c r="R66" s="28">
        <v>0</v>
      </c>
      <c r="S66" s="27">
        <v>0</v>
      </c>
      <c r="T66" s="27">
        <f t="shared" si="0"/>
        <v>250</v>
      </c>
      <c r="U66" s="27">
        <v>250</v>
      </c>
      <c r="V66" s="26">
        <f t="shared" si="1"/>
        <v>0</v>
      </c>
      <c r="W66" s="23">
        <f t="shared" si="2"/>
        <v>0</v>
      </c>
      <c r="X66" s="23"/>
      <c r="Y66" s="4"/>
      <c r="Z66" s="3"/>
    </row>
    <row r="67" spans="1:26" ht="12" customHeight="1" x14ac:dyDescent="0.2">
      <c r="A67" s="3">
        <v>531501</v>
      </c>
      <c r="B67" s="30">
        <v>531501</v>
      </c>
      <c r="C67" s="29" t="s">
        <v>62</v>
      </c>
      <c r="D67" s="28">
        <v>0</v>
      </c>
      <c r="E67" s="28">
        <v>0</v>
      </c>
      <c r="F67" s="28">
        <v>0</v>
      </c>
      <c r="G67" s="28">
        <v>0</v>
      </c>
      <c r="H67" s="28">
        <v>0</v>
      </c>
      <c r="I67" s="28">
        <v>0</v>
      </c>
      <c r="J67" s="28">
        <v>0</v>
      </c>
      <c r="K67" s="28">
        <v>0</v>
      </c>
      <c r="L67" s="28">
        <v>0</v>
      </c>
      <c r="M67" s="28">
        <v>0</v>
      </c>
      <c r="N67" s="28">
        <v>6500000</v>
      </c>
      <c r="O67" s="28">
        <v>0</v>
      </c>
      <c r="P67" s="28">
        <v>0</v>
      </c>
      <c r="Q67" s="28">
        <v>0</v>
      </c>
      <c r="R67" s="28">
        <v>0</v>
      </c>
      <c r="S67" s="27">
        <v>0</v>
      </c>
      <c r="T67" s="27">
        <f t="shared" si="0"/>
        <v>6500000</v>
      </c>
      <c r="U67" s="27">
        <v>6200000</v>
      </c>
      <c r="V67" s="26">
        <f t="shared" si="1"/>
        <v>300000</v>
      </c>
      <c r="W67" s="23">
        <f t="shared" si="2"/>
        <v>4.8387096774193547E-2</v>
      </c>
      <c r="X67" s="23"/>
      <c r="Y67" s="4"/>
      <c r="Z67" s="3"/>
    </row>
    <row r="68" spans="1:26" ht="12" customHeight="1" x14ac:dyDescent="0.2">
      <c r="A68" s="3">
        <v>531601</v>
      </c>
      <c r="B68" s="30">
        <v>531601</v>
      </c>
      <c r="C68" s="29" t="s">
        <v>56</v>
      </c>
      <c r="D68" s="28">
        <v>0</v>
      </c>
      <c r="E68" s="28">
        <v>0</v>
      </c>
      <c r="F68" s="28">
        <v>0</v>
      </c>
      <c r="G68" s="28">
        <v>0</v>
      </c>
      <c r="H68" s="28">
        <v>0</v>
      </c>
      <c r="I68" s="28">
        <v>0</v>
      </c>
      <c r="J68" s="28">
        <v>0</v>
      </c>
      <c r="K68" s="28">
        <v>0</v>
      </c>
      <c r="L68" s="28">
        <v>0</v>
      </c>
      <c r="M68" s="28">
        <v>0</v>
      </c>
      <c r="N68" s="28">
        <v>0</v>
      </c>
      <c r="O68" s="28">
        <v>0</v>
      </c>
      <c r="P68" s="28">
        <v>132742</v>
      </c>
      <c r="Q68" s="28">
        <v>0</v>
      </c>
      <c r="R68" s="28">
        <v>0</v>
      </c>
      <c r="S68" s="27">
        <v>75000</v>
      </c>
      <c r="T68" s="27">
        <f t="shared" si="0"/>
        <v>207742</v>
      </c>
      <c r="U68" s="27">
        <v>256233.666666</v>
      </c>
      <c r="V68" s="26">
        <f t="shared" si="1"/>
        <v>-48491.666666000005</v>
      </c>
      <c r="W68" s="23">
        <f t="shared" si="2"/>
        <v>-0.18924783498184405</v>
      </c>
      <c r="X68" s="23"/>
      <c r="Y68" s="4"/>
      <c r="Z68" s="3"/>
    </row>
    <row r="69" spans="1:26" ht="12" customHeight="1" x14ac:dyDescent="0.2">
      <c r="A69" s="3">
        <v>531611</v>
      </c>
      <c r="B69" s="30">
        <v>531611</v>
      </c>
      <c r="C69" s="29" t="s">
        <v>97</v>
      </c>
      <c r="D69" s="28">
        <v>0</v>
      </c>
      <c r="E69" s="28">
        <v>0</v>
      </c>
      <c r="F69" s="28">
        <v>0</v>
      </c>
      <c r="G69" s="28">
        <v>0</v>
      </c>
      <c r="H69" s="28">
        <v>0</v>
      </c>
      <c r="I69" s="28">
        <v>0</v>
      </c>
      <c r="J69" s="28">
        <v>0</v>
      </c>
      <c r="K69" s="28">
        <v>0</v>
      </c>
      <c r="L69" s="28">
        <v>0</v>
      </c>
      <c r="M69" s="28">
        <v>0</v>
      </c>
      <c r="N69" s="28">
        <v>0</v>
      </c>
      <c r="O69" s="28">
        <v>0</v>
      </c>
      <c r="P69" s="28">
        <v>572500</v>
      </c>
      <c r="Q69" s="28">
        <v>0</v>
      </c>
      <c r="R69" s="28">
        <v>0</v>
      </c>
      <c r="S69" s="27">
        <v>0</v>
      </c>
      <c r="T69" s="27">
        <f t="shared" si="0"/>
        <v>572500</v>
      </c>
      <c r="U69" s="27">
        <v>307000</v>
      </c>
      <c r="V69" s="26">
        <f t="shared" si="1"/>
        <v>265500</v>
      </c>
      <c r="W69" s="23">
        <f t="shared" si="2"/>
        <v>0.86482084690553751</v>
      </c>
      <c r="X69" s="23"/>
      <c r="Y69" s="4"/>
      <c r="Z69" s="3"/>
    </row>
    <row r="70" spans="1:26" ht="12" customHeight="1" x14ac:dyDescent="0.2">
      <c r="A70" s="3">
        <v>531621</v>
      </c>
      <c r="B70" s="30">
        <v>531621</v>
      </c>
      <c r="C70" s="29" t="s">
        <v>96</v>
      </c>
      <c r="D70" s="28">
        <v>0</v>
      </c>
      <c r="E70" s="28">
        <v>0</v>
      </c>
      <c r="F70" s="28">
        <v>0</v>
      </c>
      <c r="G70" s="28">
        <v>0</v>
      </c>
      <c r="H70" s="28">
        <v>0</v>
      </c>
      <c r="I70" s="28">
        <v>0</v>
      </c>
      <c r="J70" s="28">
        <v>0</v>
      </c>
      <c r="K70" s="28">
        <v>0</v>
      </c>
      <c r="L70" s="28">
        <v>0</v>
      </c>
      <c r="M70" s="28">
        <v>0</v>
      </c>
      <c r="N70" s="28">
        <v>0</v>
      </c>
      <c r="O70" s="28">
        <v>0</v>
      </c>
      <c r="P70" s="28">
        <v>3031000</v>
      </c>
      <c r="Q70" s="28">
        <v>0</v>
      </c>
      <c r="R70" s="28">
        <v>0</v>
      </c>
      <c r="S70" s="27">
        <v>0</v>
      </c>
      <c r="T70" s="27">
        <f t="shared" si="0"/>
        <v>3031000</v>
      </c>
      <c r="U70" s="27">
        <v>3288000</v>
      </c>
      <c r="V70" s="26">
        <f t="shared" si="1"/>
        <v>-257000</v>
      </c>
      <c r="W70" s="23">
        <f t="shared" si="2"/>
        <v>-7.8163017031630172E-2</v>
      </c>
      <c r="X70" s="23"/>
      <c r="Y70" s="4"/>
      <c r="Z70" s="3"/>
    </row>
    <row r="71" spans="1:26" ht="12" customHeight="1" x14ac:dyDescent="0.2">
      <c r="A71" s="3">
        <v>531641</v>
      </c>
      <c r="B71" s="30">
        <v>531641</v>
      </c>
      <c r="C71" s="29" t="s">
        <v>95</v>
      </c>
      <c r="D71" s="28">
        <v>0</v>
      </c>
      <c r="E71" s="28">
        <v>0</v>
      </c>
      <c r="F71" s="28">
        <v>0</v>
      </c>
      <c r="G71" s="28">
        <v>0</v>
      </c>
      <c r="H71" s="28">
        <v>0</v>
      </c>
      <c r="I71" s="28">
        <v>0</v>
      </c>
      <c r="J71" s="28">
        <v>0</v>
      </c>
      <c r="K71" s="28">
        <v>0</v>
      </c>
      <c r="L71" s="28">
        <v>0</v>
      </c>
      <c r="M71" s="28">
        <v>0</v>
      </c>
      <c r="N71" s="28">
        <v>0</v>
      </c>
      <c r="O71" s="28">
        <v>18471500</v>
      </c>
      <c r="P71" s="28">
        <v>0</v>
      </c>
      <c r="Q71" s="28">
        <v>0</v>
      </c>
      <c r="R71" s="28">
        <v>0</v>
      </c>
      <c r="S71" s="27">
        <v>0</v>
      </c>
      <c r="T71" s="27">
        <f t="shared" si="0"/>
        <v>18471500</v>
      </c>
      <c r="U71" s="27">
        <v>21692500</v>
      </c>
      <c r="V71" s="26">
        <f t="shared" si="1"/>
        <v>-3221000</v>
      </c>
      <c r="W71" s="23">
        <f t="shared" si="2"/>
        <v>-0.14848449925089316</v>
      </c>
      <c r="X71" s="23"/>
      <c r="Y71" s="4"/>
      <c r="Z71" s="3"/>
    </row>
    <row r="72" spans="1:26" ht="12" customHeight="1" x14ac:dyDescent="0.2">
      <c r="A72" s="3">
        <v>531651</v>
      </c>
      <c r="B72" s="30">
        <v>531651</v>
      </c>
      <c r="C72" s="29" t="s">
        <v>63</v>
      </c>
      <c r="D72" s="28">
        <v>0</v>
      </c>
      <c r="E72" s="28">
        <v>0</v>
      </c>
      <c r="F72" s="28">
        <v>0</v>
      </c>
      <c r="G72" s="28">
        <v>0</v>
      </c>
      <c r="H72" s="28">
        <v>0</v>
      </c>
      <c r="I72" s="28">
        <v>0</v>
      </c>
      <c r="J72" s="28">
        <v>0</v>
      </c>
      <c r="K72" s="28">
        <v>0</v>
      </c>
      <c r="L72" s="28">
        <v>0</v>
      </c>
      <c r="M72" s="28">
        <v>0</v>
      </c>
      <c r="N72" s="28">
        <v>0</v>
      </c>
      <c r="O72" s="28">
        <v>20470313.640000001</v>
      </c>
      <c r="P72" s="28">
        <v>0</v>
      </c>
      <c r="Q72" s="28">
        <v>0</v>
      </c>
      <c r="R72" s="28">
        <v>0</v>
      </c>
      <c r="S72" s="27">
        <v>0</v>
      </c>
      <c r="T72" s="27">
        <f t="shared" si="0"/>
        <v>20470313.640000001</v>
      </c>
      <c r="U72" s="27">
        <v>26515972.989999998</v>
      </c>
      <c r="V72" s="26">
        <f t="shared" si="1"/>
        <v>-6045659.3499999978</v>
      </c>
      <c r="W72" s="23">
        <f t="shared" si="2"/>
        <v>-0.22800066029181748</v>
      </c>
      <c r="X72" s="23"/>
      <c r="Y72" s="4"/>
      <c r="Z72" s="3"/>
    </row>
    <row r="73" spans="1:26" ht="12" customHeight="1" x14ac:dyDescent="0.2">
      <c r="A73" s="3">
        <v>531701</v>
      </c>
      <c r="B73" s="30">
        <v>531701</v>
      </c>
      <c r="C73" s="29" t="s">
        <v>57</v>
      </c>
      <c r="D73" s="28">
        <v>0</v>
      </c>
      <c r="E73" s="28">
        <v>0</v>
      </c>
      <c r="F73" s="28">
        <v>0</v>
      </c>
      <c r="G73" s="28">
        <v>0</v>
      </c>
      <c r="H73" s="28">
        <v>0</v>
      </c>
      <c r="I73" s="28">
        <v>0</v>
      </c>
      <c r="J73" s="28">
        <v>0</v>
      </c>
      <c r="K73" s="28">
        <v>1685</v>
      </c>
      <c r="L73" s="28">
        <v>0</v>
      </c>
      <c r="M73" s="28">
        <v>0</v>
      </c>
      <c r="N73" s="28">
        <v>30216</v>
      </c>
      <c r="O73" s="28">
        <v>0</v>
      </c>
      <c r="P73" s="28">
        <v>217000</v>
      </c>
      <c r="Q73" s="28">
        <v>0</v>
      </c>
      <c r="R73" s="28">
        <v>0</v>
      </c>
      <c r="S73" s="27">
        <v>96492</v>
      </c>
      <c r="T73" s="27">
        <f t="shared" si="0"/>
        <v>345393</v>
      </c>
      <c r="U73" s="27">
        <v>299356</v>
      </c>
      <c r="V73" s="26">
        <f t="shared" si="1"/>
        <v>46037</v>
      </c>
      <c r="W73" s="23">
        <f t="shared" si="2"/>
        <v>0.15378679565467204</v>
      </c>
      <c r="X73" s="23"/>
      <c r="Y73" s="4"/>
      <c r="Z73" s="3"/>
    </row>
    <row r="74" spans="1:26" ht="12" customHeight="1" x14ac:dyDescent="0.2">
      <c r="B74" s="30">
        <v>541301</v>
      </c>
      <c r="C74" s="29" t="s">
        <v>94</v>
      </c>
      <c r="D74" s="28">
        <v>0</v>
      </c>
      <c r="E74" s="28">
        <v>0</v>
      </c>
      <c r="F74" s="28">
        <v>0</v>
      </c>
      <c r="G74" s="28">
        <v>0</v>
      </c>
      <c r="H74" s="28">
        <v>0</v>
      </c>
      <c r="I74" s="28">
        <v>0</v>
      </c>
      <c r="J74" s="28">
        <v>0</v>
      </c>
      <c r="K74" s="28">
        <v>0</v>
      </c>
      <c r="L74" s="28">
        <v>0</v>
      </c>
      <c r="M74" s="28">
        <v>0</v>
      </c>
      <c r="N74" s="28">
        <v>0</v>
      </c>
      <c r="O74" s="28">
        <v>0</v>
      </c>
      <c r="P74" s="28">
        <v>4407107</v>
      </c>
      <c r="Q74" s="28">
        <v>0</v>
      </c>
      <c r="R74" s="28">
        <v>0</v>
      </c>
      <c r="S74" s="27">
        <v>0</v>
      </c>
      <c r="T74" s="27">
        <f t="shared" si="0"/>
        <v>4407107</v>
      </c>
      <c r="U74" s="27">
        <v>0</v>
      </c>
      <c r="V74" s="26">
        <f t="shared" si="1"/>
        <v>4407107</v>
      </c>
      <c r="W74" s="23">
        <f t="shared" si="2"/>
        <v>1</v>
      </c>
      <c r="X74" s="23"/>
      <c r="Y74" s="4"/>
      <c r="Z74" s="3"/>
    </row>
    <row r="75" spans="1:26" ht="12" customHeight="1" x14ac:dyDescent="0.2">
      <c r="A75" s="3">
        <v>541302</v>
      </c>
      <c r="B75" s="30">
        <v>541302</v>
      </c>
      <c r="C75" s="29" t="s">
        <v>93</v>
      </c>
      <c r="D75" s="28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28">
        <v>0</v>
      </c>
      <c r="L75" s="28">
        <v>0</v>
      </c>
      <c r="M75" s="28">
        <v>0</v>
      </c>
      <c r="N75" s="28">
        <v>0</v>
      </c>
      <c r="O75" s="28">
        <v>0</v>
      </c>
      <c r="P75" s="28">
        <v>3085000</v>
      </c>
      <c r="Q75" s="28">
        <v>0</v>
      </c>
      <c r="R75" s="28">
        <v>0</v>
      </c>
      <c r="S75" s="27">
        <v>0</v>
      </c>
      <c r="T75" s="27">
        <f t="shared" ref="T75:T87" si="3">SUM(D75:S75)</f>
        <v>3085000</v>
      </c>
      <c r="U75" s="27">
        <v>8075000</v>
      </c>
      <c r="V75" s="26">
        <f t="shared" ref="V75:V87" si="4">T75-U75</f>
        <v>-4990000</v>
      </c>
      <c r="W75" s="23">
        <f t="shared" ref="W75:W81" si="5">IF(U75=0,100%,V75/U75)</f>
        <v>-0.61795665634674923</v>
      </c>
      <c r="X75" s="23"/>
      <c r="Y75" s="4"/>
      <c r="Z75" s="3"/>
    </row>
    <row r="76" spans="1:26" ht="12" customHeight="1" x14ac:dyDescent="0.2">
      <c r="A76" s="3">
        <v>541401</v>
      </c>
      <c r="B76" s="30">
        <v>541401</v>
      </c>
      <c r="C76" s="29" t="s">
        <v>92</v>
      </c>
      <c r="D76" s="28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28">
        <v>0</v>
      </c>
      <c r="L76" s="28">
        <v>0</v>
      </c>
      <c r="M76" s="28">
        <v>0</v>
      </c>
      <c r="N76" s="28">
        <v>0</v>
      </c>
      <c r="O76" s="28">
        <v>6000000</v>
      </c>
      <c r="P76" s="28">
        <v>0</v>
      </c>
      <c r="Q76" s="28">
        <v>0</v>
      </c>
      <c r="R76" s="28">
        <v>89654164</v>
      </c>
      <c r="S76" s="27">
        <v>7035000</v>
      </c>
      <c r="T76" s="27">
        <f t="shared" si="3"/>
        <v>102689164</v>
      </c>
      <c r="U76" s="27">
        <v>72280208</v>
      </c>
      <c r="V76" s="26">
        <f t="shared" si="4"/>
        <v>30408956</v>
      </c>
      <c r="W76" s="23">
        <f t="shared" si="5"/>
        <v>0.42070930399093481</v>
      </c>
      <c r="X76" s="23"/>
      <c r="Y76" s="4"/>
      <c r="Z76" s="3"/>
    </row>
    <row r="77" spans="1:26" ht="12" customHeight="1" x14ac:dyDescent="0.2">
      <c r="B77" s="30">
        <v>541402</v>
      </c>
      <c r="C77" s="29" t="s">
        <v>91</v>
      </c>
      <c r="D77" s="28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28">
        <v>0</v>
      </c>
      <c r="L77" s="28">
        <v>0</v>
      </c>
      <c r="M77" s="28">
        <v>0</v>
      </c>
      <c r="N77" s="28">
        <v>0</v>
      </c>
      <c r="O77" s="28">
        <v>0</v>
      </c>
      <c r="P77" s="28">
        <v>0</v>
      </c>
      <c r="Q77" s="28">
        <v>0</v>
      </c>
      <c r="R77" s="28">
        <v>224000</v>
      </c>
      <c r="S77" s="27">
        <v>0</v>
      </c>
      <c r="T77" s="27">
        <f t="shared" si="3"/>
        <v>224000</v>
      </c>
      <c r="U77" s="27">
        <v>0</v>
      </c>
      <c r="V77" s="26">
        <f t="shared" si="4"/>
        <v>224000</v>
      </c>
      <c r="W77" s="23">
        <f t="shared" si="5"/>
        <v>1</v>
      </c>
      <c r="X77" s="23"/>
      <c r="Y77" s="4"/>
      <c r="Z77" s="3"/>
    </row>
    <row r="78" spans="1:26" ht="12" customHeight="1" x14ac:dyDescent="0.2">
      <c r="A78" s="3">
        <v>541403</v>
      </c>
      <c r="B78" s="30">
        <v>541403</v>
      </c>
      <c r="C78" s="29" t="s">
        <v>90</v>
      </c>
      <c r="D78" s="28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28">
        <v>0</v>
      </c>
      <c r="L78" s="28">
        <v>0</v>
      </c>
      <c r="M78" s="28">
        <v>0</v>
      </c>
      <c r="N78" s="28">
        <v>0</v>
      </c>
      <c r="O78" s="28">
        <v>450000</v>
      </c>
      <c r="P78" s="28">
        <v>0</v>
      </c>
      <c r="Q78" s="28">
        <v>0</v>
      </c>
      <c r="R78" s="28">
        <v>0</v>
      </c>
      <c r="S78" s="27">
        <v>0</v>
      </c>
      <c r="T78" s="27">
        <f t="shared" si="3"/>
        <v>450000</v>
      </c>
      <c r="U78" s="27">
        <v>1400000</v>
      </c>
      <c r="V78" s="26">
        <f t="shared" si="4"/>
        <v>-950000</v>
      </c>
      <c r="W78" s="23">
        <f t="shared" si="5"/>
        <v>-0.6785714285714286</v>
      </c>
      <c r="X78" s="23"/>
      <c r="Y78" s="4"/>
      <c r="Z78" s="3"/>
    </row>
    <row r="79" spans="1:26" ht="12" customHeight="1" x14ac:dyDescent="0.2">
      <c r="A79" s="3">
        <v>573001</v>
      </c>
      <c r="B79" s="30">
        <v>573001</v>
      </c>
      <c r="C79" s="29" t="s">
        <v>32</v>
      </c>
      <c r="D79" s="28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28">
        <v>0</v>
      </c>
      <c r="L79" s="28">
        <v>0</v>
      </c>
      <c r="M79" s="28">
        <v>50000</v>
      </c>
      <c r="N79" s="28">
        <v>500818</v>
      </c>
      <c r="O79" s="28">
        <v>0</v>
      </c>
      <c r="P79" s="28">
        <v>0</v>
      </c>
      <c r="Q79" s="28">
        <v>0</v>
      </c>
      <c r="R79" s="28">
        <v>0</v>
      </c>
      <c r="S79" s="27">
        <v>0</v>
      </c>
      <c r="T79" s="27">
        <f t="shared" si="3"/>
        <v>550818</v>
      </c>
      <c r="U79" s="27">
        <v>555225.68999999994</v>
      </c>
      <c r="V79" s="26">
        <f t="shared" si="4"/>
        <v>-4407.6899999999441</v>
      </c>
      <c r="W79" s="23">
        <f t="shared" si="5"/>
        <v>-7.9385555808844949E-3</v>
      </c>
      <c r="X79" s="23"/>
      <c r="Y79" s="4"/>
      <c r="Z79" s="3"/>
    </row>
    <row r="80" spans="1:26" ht="12" customHeight="1" x14ac:dyDescent="0.2">
      <c r="A80" s="3">
        <v>573002</v>
      </c>
      <c r="B80" s="30">
        <v>573002</v>
      </c>
      <c r="C80" s="29" t="s">
        <v>64</v>
      </c>
      <c r="D80" s="28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28">
        <v>0</v>
      </c>
      <c r="L80" s="28">
        <v>0</v>
      </c>
      <c r="M80" s="28">
        <v>0</v>
      </c>
      <c r="N80" s="28">
        <v>30889110</v>
      </c>
      <c r="O80" s="28">
        <v>0</v>
      </c>
      <c r="P80" s="28">
        <v>0</v>
      </c>
      <c r="Q80" s="28">
        <v>0</v>
      </c>
      <c r="R80" s="28">
        <v>0</v>
      </c>
      <c r="S80" s="27">
        <v>0</v>
      </c>
      <c r="T80" s="27">
        <f t="shared" si="3"/>
        <v>30889110</v>
      </c>
      <c r="U80" s="27">
        <v>27441513</v>
      </c>
      <c r="V80" s="26">
        <f t="shared" si="4"/>
        <v>3447597</v>
      </c>
      <c r="W80" s="23">
        <f t="shared" si="5"/>
        <v>0.1256343627991649</v>
      </c>
      <c r="X80" s="23"/>
      <c r="Y80" s="4"/>
      <c r="Z80" s="3"/>
    </row>
    <row r="81" spans="1:26" ht="12" customHeight="1" x14ac:dyDescent="0.2">
      <c r="A81" s="3">
        <v>173003</v>
      </c>
      <c r="B81" s="30">
        <v>173003</v>
      </c>
      <c r="C81" s="29" t="s">
        <v>89</v>
      </c>
      <c r="D81" s="28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28">
        <v>0</v>
      </c>
      <c r="L81" s="28">
        <v>0</v>
      </c>
      <c r="M81" s="28">
        <v>0</v>
      </c>
      <c r="N81" s="28">
        <v>0</v>
      </c>
      <c r="O81" s="28">
        <v>0</v>
      </c>
      <c r="P81" s="28">
        <v>0</v>
      </c>
      <c r="Q81" s="28">
        <v>0</v>
      </c>
      <c r="R81" s="28">
        <v>50000</v>
      </c>
      <c r="S81" s="27">
        <v>0</v>
      </c>
      <c r="T81" s="27">
        <f t="shared" si="3"/>
        <v>50000</v>
      </c>
      <c r="U81" s="27">
        <v>0</v>
      </c>
      <c r="V81" s="26">
        <f t="shared" si="4"/>
        <v>50000</v>
      </c>
      <c r="W81" s="23">
        <f t="shared" si="5"/>
        <v>1</v>
      </c>
      <c r="X81" s="23"/>
      <c r="Y81" s="4"/>
      <c r="Z81" s="3"/>
    </row>
    <row r="82" spans="1:26" ht="12" hidden="1" customHeight="1" x14ac:dyDescent="0.2">
      <c r="A82" s="3">
        <v>173005</v>
      </c>
      <c r="B82" s="30">
        <v>173005</v>
      </c>
      <c r="C82" s="29" t="s">
        <v>88</v>
      </c>
      <c r="D82" s="28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28">
        <v>0</v>
      </c>
      <c r="L82" s="28">
        <v>0</v>
      </c>
      <c r="M82" s="28">
        <v>0</v>
      </c>
      <c r="N82" s="28">
        <v>0</v>
      </c>
      <c r="O82" s="28">
        <v>0</v>
      </c>
      <c r="P82" s="28">
        <v>0</v>
      </c>
      <c r="Q82" s="28">
        <v>0</v>
      </c>
      <c r="R82" s="28">
        <v>0</v>
      </c>
      <c r="S82" s="28">
        <v>0</v>
      </c>
      <c r="T82" s="27">
        <f t="shared" si="3"/>
        <v>0</v>
      </c>
      <c r="U82" s="27">
        <v>0</v>
      </c>
      <c r="V82" s="26">
        <f t="shared" si="4"/>
        <v>0</v>
      </c>
      <c r="W82" s="23">
        <v>0</v>
      </c>
      <c r="X82" s="23"/>
      <c r="Y82" s="4"/>
      <c r="Z82" s="3"/>
    </row>
    <row r="83" spans="1:26" ht="12" hidden="1" customHeight="1" x14ac:dyDescent="0.2">
      <c r="A83" s="3">
        <v>173005</v>
      </c>
      <c r="B83" s="30">
        <v>173005</v>
      </c>
      <c r="C83" s="29" t="s">
        <v>87</v>
      </c>
      <c r="D83" s="28">
        <v>0</v>
      </c>
      <c r="E83" s="28">
        <v>0</v>
      </c>
      <c r="F83" s="28">
        <v>0</v>
      </c>
      <c r="G83" s="28">
        <v>0</v>
      </c>
      <c r="H83" s="28">
        <v>0</v>
      </c>
      <c r="I83" s="28">
        <v>0</v>
      </c>
      <c r="J83" s="28">
        <v>0</v>
      </c>
      <c r="K83" s="28">
        <v>0</v>
      </c>
      <c r="L83" s="28">
        <v>0</v>
      </c>
      <c r="M83" s="28">
        <v>0</v>
      </c>
      <c r="N83" s="28">
        <v>0</v>
      </c>
      <c r="O83" s="28">
        <v>0</v>
      </c>
      <c r="P83" s="28">
        <v>0</v>
      </c>
      <c r="Q83" s="28">
        <v>0</v>
      </c>
      <c r="R83" s="28">
        <v>0</v>
      </c>
      <c r="S83" s="28">
        <v>0</v>
      </c>
      <c r="T83" s="27">
        <f t="shared" si="3"/>
        <v>0</v>
      </c>
      <c r="U83" s="27">
        <v>0</v>
      </c>
      <c r="V83" s="26">
        <f t="shared" si="4"/>
        <v>0</v>
      </c>
      <c r="W83" s="23">
        <v>0</v>
      </c>
      <c r="X83" s="23"/>
      <c r="Y83" s="4"/>
      <c r="Z83" s="3"/>
    </row>
    <row r="84" spans="1:26" ht="12" hidden="1" customHeight="1" x14ac:dyDescent="0.2">
      <c r="A84" s="3">
        <v>173005</v>
      </c>
      <c r="B84" s="30">
        <v>173005</v>
      </c>
      <c r="C84" s="29" t="s">
        <v>86</v>
      </c>
      <c r="D84" s="28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28">
        <v>0</v>
      </c>
      <c r="L84" s="28">
        <v>0</v>
      </c>
      <c r="M84" s="28">
        <v>0</v>
      </c>
      <c r="N84" s="28">
        <v>0</v>
      </c>
      <c r="O84" s="28">
        <v>0</v>
      </c>
      <c r="P84" s="28">
        <v>0</v>
      </c>
      <c r="Q84" s="28">
        <v>0</v>
      </c>
      <c r="R84" s="28">
        <v>0</v>
      </c>
      <c r="S84" s="28">
        <v>0</v>
      </c>
      <c r="T84" s="27">
        <f t="shared" si="3"/>
        <v>0</v>
      </c>
      <c r="U84" s="27">
        <v>0</v>
      </c>
      <c r="V84" s="26">
        <f t="shared" si="4"/>
        <v>0</v>
      </c>
      <c r="W84" s="23">
        <v>0</v>
      </c>
      <c r="X84" s="23"/>
      <c r="Y84" s="4"/>
      <c r="Z84" s="3"/>
    </row>
    <row r="85" spans="1:26" ht="12" hidden="1" customHeight="1" x14ac:dyDescent="0.2">
      <c r="A85" s="3">
        <v>176001</v>
      </c>
      <c r="B85" s="30">
        <v>176001</v>
      </c>
      <c r="C85" s="29" t="s">
        <v>85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8">
        <v>0</v>
      </c>
      <c r="O85" s="28">
        <v>0</v>
      </c>
      <c r="P85" s="28">
        <v>0</v>
      </c>
      <c r="Q85" s="28">
        <v>0</v>
      </c>
      <c r="R85" s="28">
        <v>0</v>
      </c>
      <c r="S85" s="28">
        <v>0</v>
      </c>
      <c r="T85" s="27">
        <f t="shared" si="3"/>
        <v>0</v>
      </c>
      <c r="U85" s="27">
        <v>0</v>
      </c>
      <c r="V85" s="26">
        <f t="shared" si="4"/>
        <v>0</v>
      </c>
      <c r="W85" s="23">
        <v>0</v>
      </c>
      <c r="X85" s="23"/>
      <c r="Y85" s="4"/>
      <c r="Z85" s="3"/>
    </row>
    <row r="86" spans="1:26" ht="12" hidden="1" customHeight="1" x14ac:dyDescent="0.2">
      <c r="A86" s="3">
        <v>176001</v>
      </c>
      <c r="B86" s="30">
        <v>176001</v>
      </c>
      <c r="C86" s="29" t="s">
        <v>84</v>
      </c>
      <c r="D86" s="28">
        <v>0</v>
      </c>
      <c r="E86" s="27">
        <v>0</v>
      </c>
      <c r="F86" s="27">
        <v>0</v>
      </c>
      <c r="G86" s="28">
        <v>0</v>
      </c>
      <c r="H86" s="27">
        <v>0</v>
      </c>
      <c r="I86" s="27">
        <v>0</v>
      </c>
      <c r="J86" s="28">
        <v>0</v>
      </c>
      <c r="K86" s="28">
        <v>0</v>
      </c>
      <c r="L86" s="28">
        <v>0</v>
      </c>
      <c r="M86" s="28">
        <v>0</v>
      </c>
      <c r="N86" s="28">
        <v>0</v>
      </c>
      <c r="O86" s="28">
        <v>0</v>
      </c>
      <c r="P86" s="28">
        <v>0</v>
      </c>
      <c r="Q86" s="27">
        <v>0</v>
      </c>
      <c r="R86" s="28">
        <v>0</v>
      </c>
      <c r="S86" s="28">
        <v>0</v>
      </c>
      <c r="T86" s="27">
        <f t="shared" si="3"/>
        <v>0</v>
      </c>
      <c r="U86" s="27">
        <v>0</v>
      </c>
      <c r="V86" s="26">
        <f t="shared" si="4"/>
        <v>0</v>
      </c>
      <c r="W86" s="23">
        <v>0</v>
      </c>
      <c r="X86" s="23"/>
      <c r="Y86" s="4"/>
      <c r="Z86" s="3"/>
    </row>
    <row r="87" spans="1:26" ht="12" hidden="1" customHeight="1" x14ac:dyDescent="0.2">
      <c r="A87" s="3">
        <v>176001</v>
      </c>
      <c r="B87" s="30">
        <v>176001</v>
      </c>
      <c r="C87" s="29" t="s">
        <v>83</v>
      </c>
      <c r="D87" s="28">
        <v>0</v>
      </c>
      <c r="E87" s="27">
        <v>0</v>
      </c>
      <c r="F87" s="27">
        <v>0</v>
      </c>
      <c r="G87" s="28">
        <v>0</v>
      </c>
      <c r="H87" s="27">
        <v>0</v>
      </c>
      <c r="I87" s="27">
        <v>0</v>
      </c>
      <c r="J87" s="28">
        <v>0</v>
      </c>
      <c r="K87" s="28">
        <v>0</v>
      </c>
      <c r="L87" s="28">
        <v>0</v>
      </c>
      <c r="M87" s="28">
        <v>0</v>
      </c>
      <c r="N87" s="28">
        <v>0</v>
      </c>
      <c r="O87" s="28">
        <v>0</v>
      </c>
      <c r="P87" s="28">
        <v>0</v>
      </c>
      <c r="Q87" s="27">
        <v>0</v>
      </c>
      <c r="R87" s="28">
        <v>0</v>
      </c>
      <c r="S87" s="28">
        <v>0</v>
      </c>
      <c r="T87" s="27">
        <f t="shared" si="3"/>
        <v>0</v>
      </c>
      <c r="U87" s="27">
        <v>0</v>
      </c>
      <c r="V87" s="26">
        <f t="shared" si="4"/>
        <v>0</v>
      </c>
      <c r="W87" s="23">
        <v>0</v>
      </c>
      <c r="X87" s="23"/>
      <c r="Y87" s="4"/>
      <c r="Z87" s="3"/>
    </row>
    <row r="88" spans="1:26" ht="4.5" customHeight="1" thickBot="1" x14ac:dyDescent="0.25">
      <c r="C88" s="25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3"/>
      <c r="X88" s="23"/>
      <c r="Y88" s="4"/>
      <c r="Z88" s="3"/>
    </row>
    <row r="89" spans="1:26" ht="12" customHeight="1" thickBot="1" x14ac:dyDescent="0.25">
      <c r="C89" s="22" t="s">
        <v>13</v>
      </c>
      <c r="D89" s="20">
        <f t="shared" ref="D89:M89" si="6">SUM(D11:D87)</f>
        <v>1868697.695268</v>
      </c>
      <c r="E89" s="20">
        <f t="shared" si="6"/>
        <v>708227.53630399995</v>
      </c>
      <c r="F89" s="20">
        <f t="shared" si="6"/>
        <v>178053.72298600001</v>
      </c>
      <c r="G89" s="20">
        <f t="shared" si="6"/>
        <v>1891949.1841980002</v>
      </c>
      <c r="H89" s="20">
        <f t="shared" si="6"/>
        <v>1490121.1163910001</v>
      </c>
      <c r="I89" s="20">
        <f t="shared" si="6"/>
        <v>3204402.9370920002</v>
      </c>
      <c r="J89" s="20">
        <f t="shared" si="6"/>
        <v>1819431.140474</v>
      </c>
      <c r="K89" s="20">
        <f t="shared" si="6"/>
        <v>7965031.835434</v>
      </c>
      <c r="L89" s="21">
        <f t="shared" si="6"/>
        <v>-1394972.0300000003</v>
      </c>
      <c r="M89" s="20">
        <f t="shared" si="6"/>
        <v>2473031.0559040001</v>
      </c>
      <c r="N89" s="20">
        <f>SUM(N11:N88)</f>
        <v>100862589.202755</v>
      </c>
      <c r="O89" s="20">
        <f t="shared" ref="O89:V89" si="7">SUM(O11:O87)</f>
        <v>104376542.911952</v>
      </c>
      <c r="P89" s="20">
        <f t="shared" si="7"/>
        <v>70546461.646514997</v>
      </c>
      <c r="Q89" s="20">
        <f t="shared" si="7"/>
        <v>2554507.5390050001</v>
      </c>
      <c r="R89" s="20">
        <f t="shared" si="7"/>
        <v>157344021.35711801</v>
      </c>
      <c r="S89" s="20">
        <f t="shared" si="7"/>
        <v>35764005.034844995</v>
      </c>
      <c r="T89" s="19">
        <f t="shared" si="7"/>
        <v>491652101.88624096</v>
      </c>
      <c r="U89" s="19">
        <f t="shared" si="7"/>
        <v>447072846.97673595</v>
      </c>
      <c r="V89" s="18">
        <f t="shared" si="7"/>
        <v>44579254.909505025</v>
      </c>
      <c r="W89" s="17">
        <f>IF(U89=0,100%,V89/U89)</f>
        <v>9.9713626562126609E-2</v>
      </c>
      <c r="X89" s="16"/>
      <c r="Y89" s="4"/>
      <c r="Z89" s="3"/>
    </row>
    <row r="90" spans="1:26" ht="4.5" customHeight="1" thickTop="1" x14ac:dyDescent="0.2">
      <c r="C90" s="11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4"/>
      <c r="Z90" s="3"/>
    </row>
    <row r="91" spans="1:26" ht="4.5" customHeight="1" x14ac:dyDescent="0.2">
      <c r="C91" s="11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4"/>
      <c r="Z91" s="3"/>
    </row>
    <row r="92" spans="1:26" ht="27" hidden="1" customHeight="1" outlineLevel="1" x14ac:dyDescent="0.2">
      <c r="C92" s="11"/>
      <c r="D92" s="13"/>
      <c r="E92" s="13"/>
      <c r="F92" s="13"/>
      <c r="G92" s="15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 t="s">
        <v>82</v>
      </c>
      <c r="S92" s="13"/>
      <c r="T92" s="13"/>
      <c r="U92" s="14">
        <v>451769502.06317902</v>
      </c>
      <c r="V92" s="13"/>
      <c r="W92" s="12"/>
      <c r="X92" s="12"/>
      <c r="Y92" s="4"/>
      <c r="Z92" s="3"/>
    </row>
    <row r="93" spans="1:26" ht="27.75" hidden="1" customHeight="1" outlineLevel="1" x14ac:dyDescent="0.2">
      <c r="C93" s="11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9">
        <f>U89-U92</f>
        <v>-4696655.0864430666</v>
      </c>
      <c r="V93" s="8"/>
      <c r="W93" s="8"/>
      <c r="X93" s="8"/>
      <c r="Y93" s="4"/>
      <c r="Z93" s="3"/>
    </row>
    <row r="94" spans="1:26" hidden="1" outlineLevel="1" x14ac:dyDescent="0.2">
      <c r="U94" s="6"/>
    </row>
    <row r="95" spans="1:26" hidden="1" outlineLevel="1" x14ac:dyDescent="0.2">
      <c r="J95" s="5"/>
      <c r="M95" s="5"/>
      <c r="O95" s="5"/>
      <c r="P95" s="5"/>
      <c r="T95" s="5"/>
      <c r="U95" s="6"/>
    </row>
    <row r="96" spans="1:26" hidden="1" outlineLevel="1" x14ac:dyDescent="0.2">
      <c r="U96" s="6"/>
    </row>
    <row r="97" spans="13:22" hidden="1" outlineLevel="1" x14ac:dyDescent="0.2">
      <c r="M97" s="5"/>
      <c r="P97" s="5"/>
      <c r="U97" s="7"/>
    </row>
    <row r="98" spans="13:22" collapsed="1" x14ac:dyDescent="0.2">
      <c r="V98" s="5"/>
    </row>
    <row r="99" spans="13:22" x14ac:dyDescent="0.2">
      <c r="U99" s="6"/>
    </row>
    <row r="101" spans="13:22" x14ac:dyDescent="0.2">
      <c r="T101" s="5"/>
    </row>
  </sheetData>
  <conditionalFormatting sqref="D92:X93">
    <cfRule type="cellIs" dxfId="33" priority="1" operator="greaterThan">
      <formula>0</formula>
    </cfRule>
  </conditionalFormatting>
  <pageMargins left="0.75" right="0.75" top="1" bottom="1" header="0.5" footer="0.5"/>
  <pageSetup orientation="portrait" r:id="rId1"/>
  <drawing r:id="rId2"/>
  <legacyDrawing r:id="rId3"/>
  <controls>
    <mc:AlternateContent xmlns:mc="http://schemas.openxmlformats.org/markup-compatibility/2006">
      <mc:Choice Requires="x14">
        <control shapeId="35843" r:id="rId4" name="Control 3">
          <controlPr defaultSize="0" r:id="rId5">
            <anchor moveWithCells="1">
              <from>
                <xdr:col>2</xdr:col>
                <xdr:colOff>1247775</xdr:colOff>
                <xdr:row>0</xdr:row>
                <xdr:rowOff>0</xdr:rowOff>
              </from>
              <to>
                <xdr:col>2</xdr:col>
                <xdr:colOff>2162175</xdr:colOff>
                <xdr:row>1</xdr:row>
                <xdr:rowOff>66675</xdr:rowOff>
              </to>
            </anchor>
          </controlPr>
        </control>
      </mc:Choice>
      <mc:Fallback>
        <control shapeId="35843" r:id="rId4" name="Control 3"/>
      </mc:Fallback>
    </mc:AlternateContent>
    <mc:AlternateContent xmlns:mc="http://schemas.openxmlformats.org/markup-compatibility/2006">
      <mc:Choice Requires="x14">
        <control shapeId="35842" r:id="rId6" name="Control 2">
          <controlPr defaultSize="0" r:id="rId7">
            <anchor moveWithCells="1">
              <from>
                <xdr:col>2</xdr:col>
                <xdr:colOff>628650</xdr:colOff>
                <xdr:row>0</xdr:row>
                <xdr:rowOff>0</xdr:rowOff>
              </from>
              <to>
                <xdr:col>2</xdr:col>
                <xdr:colOff>1543050</xdr:colOff>
                <xdr:row>1</xdr:row>
                <xdr:rowOff>66675</xdr:rowOff>
              </to>
            </anchor>
          </controlPr>
        </control>
      </mc:Choice>
      <mc:Fallback>
        <control shapeId="35842" r:id="rId6" name="Control 2"/>
      </mc:Fallback>
    </mc:AlternateContent>
    <mc:AlternateContent xmlns:mc="http://schemas.openxmlformats.org/markup-compatibility/2006">
      <mc:Choice Requires="x14">
        <control shapeId="35841" r:id="rId8" name="Control 1">
          <controlPr defaultSize="0" r:id="rId9">
            <anchor moveWithCells="1">
              <from>
                <xdr:col>0</xdr:col>
                <xdr:colOff>0</xdr:colOff>
                <xdr:row>0</xdr:row>
                <xdr:rowOff>0</xdr:rowOff>
              </from>
              <to>
                <xdr:col>2</xdr:col>
                <xdr:colOff>304800</xdr:colOff>
                <xdr:row>1</xdr:row>
                <xdr:rowOff>66675</xdr:rowOff>
              </to>
            </anchor>
          </controlPr>
        </control>
      </mc:Choice>
      <mc:Fallback>
        <control shapeId="35841" r:id="rId8" name="Control 1"/>
      </mc:Fallback>
    </mc:AlternateContent>
  </control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CE26E-8B3B-40C8-850C-3B45CFF4AF19}">
  <sheetPr codeName="Sheet1"/>
  <dimension ref="A1:I22"/>
  <sheetViews>
    <sheetView showGridLines="0" zoomScale="110" zoomScaleNormal="11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4.140625" style="49" customWidth="1"/>
    <col min="3" max="3" width="11.85546875" style="49" bestFit="1" customWidth="1"/>
    <col min="4" max="5" width="11.5703125" style="49" customWidth="1"/>
    <col min="6" max="6" width="10.5703125" style="49" customWidth="1"/>
    <col min="7" max="8" width="9.140625" style="49"/>
    <col min="9" max="9" width="9.42578125" style="49" bestFit="1" customWidth="1"/>
    <col min="10" max="16384" width="9.140625" style="49"/>
  </cols>
  <sheetData>
    <row r="1" spans="1:6" x14ac:dyDescent="0.2">
      <c r="B1" s="64"/>
      <c r="C1" s="64"/>
      <c r="D1" s="64"/>
      <c r="E1" s="64"/>
      <c r="F1" s="64"/>
    </row>
    <row r="2" spans="1:6" x14ac:dyDescent="0.2">
      <c r="B2" s="215"/>
      <c r="C2" s="215"/>
      <c r="D2" s="215"/>
      <c r="E2" s="215"/>
      <c r="F2" s="215"/>
    </row>
    <row r="3" spans="1:6" x14ac:dyDescent="0.2">
      <c r="B3" s="215"/>
      <c r="C3" s="215"/>
      <c r="D3" s="215"/>
      <c r="E3" s="215"/>
      <c r="F3" s="215"/>
    </row>
    <row r="4" spans="1:6" x14ac:dyDescent="0.2">
      <c r="B4" s="216"/>
      <c r="C4" s="216"/>
      <c r="D4" s="216"/>
      <c r="E4" s="216"/>
      <c r="F4" s="216"/>
    </row>
    <row r="5" spans="1:6" x14ac:dyDescent="0.2">
      <c r="B5" s="216"/>
      <c r="C5" s="216"/>
      <c r="D5" s="216"/>
      <c r="E5" s="216"/>
      <c r="F5" s="216"/>
    </row>
    <row r="6" spans="1:6" x14ac:dyDescent="0.2">
      <c r="B6" s="217"/>
      <c r="C6" s="217"/>
      <c r="D6" s="217"/>
      <c r="E6" s="217"/>
      <c r="F6" s="217"/>
    </row>
    <row r="7" spans="1:6" ht="15" thickBot="1" x14ac:dyDescent="0.25">
      <c r="B7" s="4"/>
      <c r="C7" s="64"/>
      <c r="D7" s="64"/>
      <c r="E7" s="64"/>
      <c r="F7" s="64"/>
    </row>
    <row r="8" spans="1:6" ht="24.75" thickBot="1" x14ac:dyDescent="0.25">
      <c r="A8" s="50"/>
      <c r="B8" s="65" t="s">
        <v>12</v>
      </c>
      <c r="C8" s="66" t="s">
        <v>169</v>
      </c>
      <c r="D8" s="66" t="s">
        <v>170</v>
      </c>
      <c r="E8" s="66" t="s">
        <v>171</v>
      </c>
      <c r="F8" s="67" t="s">
        <v>172</v>
      </c>
    </row>
    <row r="9" spans="1:6" x14ac:dyDescent="0.2">
      <c r="A9" s="50">
        <v>511101</v>
      </c>
      <c r="B9" s="68" t="s">
        <v>114</v>
      </c>
      <c r="C9" s="57">
        <v>541980.77759999991</v>
      </c>
      <c r="D9" s="69">
        <v>0</v>
      </c>
      <c r="E9" s="69">
        <v>0</v>
      </c>
      <c r="F9" s="70">
        <f t="shared" ref="F9:F18" si="0">SUM(C9:E9)</f>
        <v>541980.77759999991</v>
      </c>
    </row>
    <row r="10" spans="1:6" x14ac:dyDescent="0.2">
      <c r="A10" s="50">
        <v>512401</v>
      </c>
      <c r="B10" s="68" t="s">
        <v>115</v>
      </c>
      <c r="C10" s="59">
        <v>62442.867508000003</v>
      </c>
      <c r="D10" s="71">
        <v>0</v>
      </c>
      <c r="E10" s="71">
        <v>0</v>
      </c>
      <c r="F10" s="72">
        <f t="shared" si="0"/>
        <v>62442.867508000003</v>
      </c>
    </row>
    <row r="11" spans="1:6" x14ac:dyDescent="0.2">
      <c r="A11" s="50">
        <v>521101</v>
      </c>
      <c r="B11" s="68" t="s">
        <v>116</v>
      </c>
      <c r="C11" s="59">
        <v>3000</v>
      </c>
      <c r="D11" s="71">
        <v>0</v>
      </c>
      <c r="E11" s="71">
        <v>0</v>
      </c>
      <c r="F11" s="72">
        <f t="shared" si="0"/>
        <v>3000</v>
      </c>
    </row>
    <row r="12" spans="1:6" x14ac:dyDescent="0.2">
      <c r="A12" s="50">
        <v>521201</v>
      </c>
      <c r="B12" s="68" t="s">
        <v>117</v>
      </c>
      <c r="C12" s="59">
        <v>45000</v>
      </c>
      <c r="D12" s="71">
        <v>0</v>
      </c>
      <c r="E12" s="71">
        <v>0</v>
      </c>
      <c r="F12" s="72">
        <f t="shared" si="0"/>
        <v>45000</v>
      </c>
    </row>
    <row r="13" spans="1:6" x14ac:dyDescent="0.2">
      <c r="A13" s="50">
        <v>523304</v>
      </c>
      <c r="B13" s="68" t="s">
        <v>118</v>
      </c>
      <c r="C13" s="59">
        <v>0</v>
      </c>
      <c r="D13" s="71">
        <v>0</v>
      </c>
      <c r="E13" s="71">
        <v>0</v>
      </c>
      <c r="F13" s="72">
        <f t="shared" si="0"/>
        <v>0</v>
      </c>
    </row>
    <row r="14" spans="1:6" x14ac:dyDescent="0.2">
      <c r="A14" s="50">
        <v>523501</v>
      </c>
      <c r="B14" s="68" t="s">
        <v>119</v>
      </c>
      <c r="C14" s="59">
        <v>20000</v>
      </c>
      <c r="D14" s="71">
        <v>0</v>
      </c>
      <c r="E14" s="71">
        <v>0</v>
      </c>
      <c r="F14" s="72">
        <f t="shared" si="0"/>
        <v>20000</v>
      </c>
    </row>
    <row r="15" spans="1:6" x14ac:dyDescent="0.2">
      <c r="A15" s="50">
        <v>523601</v>
      </c>
      <c r="B15" s="68" t="s">
        <v>120</v>
      </c>
      <c r="C15" s="59">
        <v>60000</v>
      </c>
      <c r="D15" s="71">
        <v>0</v>
      </c>
      <c r="E15" s="71">
        <v>0</v>
      </c>
      <c r="F15" s="72">
        <f t="shared" si="0"/>
        <v>60000</v>
      </c>
    </row>
    <row r="16" spans="1:6" x14ac:dyDescent="0.2">
      <c r="A16" s="50">
        <v>523701</v>
      </c>
      <c r="B16" s="68" t="s">
        <v>121</v>
      </c>
      <c r="C16" s="59">
        <v>2628</v>
      </c>
      <c r="D16" s="71">
        <v>0</v>
      </c>
      <c r="E16" s="71">
        <v>0</v>
      </c>
      <c r="F16" s="72">
        <f t="shared" si="0"/>
        <v>2628</v>
      </c>
    </row>
    <row r="17" spans="1:9" x14ac:dyDescent="0.2">
      <c r="A17" s="50">
        <v>531101</v>
      </c>
      <c r="B17" s="68" t="s">
        <v>122</v>
      </c>
      <c r="C17" s="59">
        <v>400</v>
      </c>
      <c r="D17" s="71">
        <v>0</v>
      </c>
      <c r="E17" s="71">
        <v>0</v>
      </c>
      <c r="F17" s="72">
        <f t="shared" si="0"/>
        <v>400</v>
      </c>
    </row>
    <row r="18" spans="1:9" ht="15" thickBot="1" x14ac:dyDescent="0.25">
      <c r="A18" s="50">
        <v>531105</v>
      </c>
      <c r="B18" s="73" t="s">
        <v>123</v>
      </c>
      <c r="C18" s="60">
        <v>58</v>
      </c>
      <c r="D18" s="74">
        <v>0</v>
      </c>
      <c r="E18" s="74">
        <v>0</v>
      </c>
      <c r="F18" s="75">
        <f t="shared" si="0"/>
        <v>58</v>
      </c>
    </row>
    <row r="19" spans="1:9" ht="15" thickBot="1" x14ac:dyDescent="0.25">
      <c r="A19" s="50"/>
      <c r="B19" s="76" t="s">
        <v>173</v>
      </c>
      <c r="C19" s="77">
        <f>SUM(C9:C18)</f>
        <v>735509.64510799991</v>
      </c>
      <c r="D19" s="77">
        <f t="shared" ref="D19:E19" si="1">SUM(D9:D18)</f>
        <v>0</v>
      </c>
      <c r="E19" s="77">
        <f t="shared" si="1"/>
        <v>0</v>
      </c>
      <c r="F19" s="78">
        <f>SUM(F9:F18)</f>
        <v>735509.64510799991</v>
      </c>
      <c r="I19" s="62"/>
    </row>
    <row r="20" spans="1:9" ht="15" thickBot="1" x14ac:dyDescent="0.25">
      <c r="A20" s="50"/>
      <c r="B20" s="79" t="s">
        <v>174</v>
      </c>
      <c r="C20" s="80">
        <v>708227.53630399995</v>
      </c>
      <c r="D20" s="80">
        <v>0</v>
      </c>
      <c r="E20" s="80">
        <v>0</v>
      </c>
      <c r="F20" s="81">
        <f>SUM(C20:E20)</f>
        <v>708227.53630399995</v>
      </c>
    </row>
    <row r="21" spans="1:9" ht="15.75" thickTop="1" thickBot="1" x14ac:dyDescent="0.25">
      <c r="A21" s="50"/>
      <c r="B21" s="82" t="s">
        <v>175</v>
      </c>
      <c r="C21" s="83">
        <f>C19-C20</f>
        <v>27282.108803999959</v>
      </c>
      <c r="D21" s="83">
        <f t="shared" ref="D21:F21" si="2">D19-D20</f>
        <v>0</v>
      </c>
      <c r="E21" s="83">
        <f t="shared" si="2"/>
        <v>0</v>
      </c>
      <c r="F21" s="84">
        <f t="shared" si="2"/>
        <v>27282.108803999959</v>
      </c>
    </row>
    <row r="22" spans="1:9" x14ac:dyDescent="0.2">
      <c r="C22" s="85">
        <f>C19/$F$19</f>
        <v>1</v>
      </c>
      <c r="D22" s="85">
        <f>D19/$F$19</f>
        <v>0</v>
      </c>
      <c r="E22" s="85">
        <f>E19/$F$19</f>
        <v>0</v>
      </c>
      <c r="F22" s="85">
        <f>F19/$F$19</f>
        <v>1</v>
      </c>
    </row>
  </sheetData>
  <mergeCells count="4">
    <mergeCell ref="B2:F3"/>
    <mergeCell ref="B4:F4"/>
    <mergeCell ref="B5:F5"/>
    <mergeCell ref="B6:F6"/>
  </mergeCells>
  <conditionalFormatting sqref="B20">
    <cfRule type="cellIs" dxfId="32" priority="3" operator="lessThan">
      <formula>0</formula>
    </cfRule>
  </conditionalFormatting>
  <conditionalFormatting sqref="C9:C20">
    <cfRule type="cellIs" dxfId="31" priority="1" operator="lessThan">
      <formula>0</formula>
    </cfRule>
  </conditionalFormatting>
  <conditionalFormatting sqref="C21:F21">
    <cfRule type="cellIs" dxfId="30" priority="4" operator="lessThan">
      <formula>0</formula>
    </cfRule>
  </conditionalFormatting>
  <pageMargins left="0.75" right="0.75" top="1" bottom="1" header="0.5" footer="0.5"/>
  <pageSetup scale="94" orientation="portrait" r:id="rId1"/>
  <drawing r:id="rId2"/>
  <legacyDrawing r:id="rId3"/>
  <controls>
    <mc:AlternateContent xmlns:mc="http://schemas.openxmlformats.org/markup-compatibility/2006">
      <mc:Choice Requires="x14">
        <control shapeId="19459" r:id="rId4" name="Control 3">
          <controlPr defaultSize="0" r:id="rId5">
            <anchor moveWithCells="1">
              <from>
                <xdr:col>1</xdr:col>
                <xdr:colOff>1238250</xdr:colOff>
                <xdr:row>0</xdr:row>
                <xdr:rowOff>0</xdr:rowOff>
              </from>
              <to>
                <xdr:col>1</xdr:col>
                <xdr:colOff>2247900</xdr:colOff>
                <xdr:row>1</xdr:row>
                <xdr:rowOff>66675</xdr:rowOff>
              </to>
            </anchor>
          </controlPr>
        </control>
      </mc:Choice>
      <mc:Fallback>
        <control shapeId="19459" r:id="rId4" name="Control 3"/>
      </mc:Fallback>
    </mc:AlternateContent>
    <mc:AlternateContent xmlns:mc="http://schemas.openxmlformats.org/markup-compatibility/2006">
      <mc:Choice Requires="x14">
        <control shapeId="19458" r:id="rId6" name="Control 2">
          <controlPr defaultSize="0" r:id="rId7">
            <anchor moveWithCells="1">
              <from>
                <xdr:col>1</xdr:col>
                <xdr:colOff>590550</xdr:colOff>
                <xdr:row>0</xdr:row>
                <xdr:rowOff>0</xdr:rowOff>
              </from>
              <to>
                <xdr:col>1</xdr:col>
                <xdr:colOff>1600200</xdr:colOff>
                <xdr:row>1</xdr:row>
                <xdr:rowOff>66675</xdr:rowOff>
              </to>
            </anchor>
          </controlPr>
        </control>
      </mc:Choice>
      <mc:Fallback>
        <control shapeId="19458" r:id="rId6" name="Control 2"/>
      </mc:Fallback>
    </mc:AlternateContent>
    <mc:AlternateContent xmlns:mc="http://schemas.openxmlformats.org/markup-compatibility/2006">
      <mc:Choice Requires="x14">
        <control shapeId="19457" r:id="rId8" name="Control 1">
          <controlPr defaultSize="0" r:id="rId9">
            <anchor moveWithCells="1">
              <from>
                <xdr:col>1</xdr:col>
                <xdr:colOff>514350</xdr:colOff>
                <xdr:row>0</xdr:row>
                <xdr:rowOff>0</xdr:rowOff>
              </from>
              <to>
                <xdr:col>1</xdr:col>
                <xdr:colOff>1524000</xdr:colOff>
                <xdr:row>1</xdr:row>
                <xdr:rowOff>66675</xdr:rowOff>
              </to>
            </anchor>
          </controlPr>
        </control>
      </mc:Choice>
      <mc:Fallback>
        <control shapeId="19457" r:id="rId8" name="Control 1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7B2B-9443-4A1C-B4F4-B7FA868D7813}">
  <sheetPr codeName="Sheet3"/>
  <dimension ref="A1:F20"/>
  <sheetViews>
    <sheetView showGridLines="0" zoomScaleNormal="10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4.140625" style="49" customWidth="1"/>
    <col min="3" max="3" width="10.5703125" style="49" customWidth="1"/>
    <col min="4" max="5" width="10.28515625" style="49" customWidth="1"/>
    <col min="6" max="6" width="11.42578125" style="49" customWidth="1"/>
    <col min="7" max="16384" width="9.140625" style="49"/>
  </cols>
  <sheetData>
    <row r="1" spans="1:6" x14ac:dyDescent="0.2">
      <c r="B1" s="64"/>
      <c r="C1" s="64"/>
      <c r="D1" s="64"/>
      <c r="E1" s="64"/>
      <c r="F1" s="64"/>
    </row>
    <row r="2" spans="1:6" x14ac:dyDescent="0.2">
      <c r="B2" s="215"/>
      <c r="C2" s="215"/>
      <c r="D2" s="215"/>
      <c r="E2" s="215"/>
      <c r="F2" s="215"/>
    </row>
    <row r="3" spans="1:6" x14ac:dyDescent="0.2">
      <c r="B3" s="215"/>
      <c r="C3" s="215"/>
      <c r="D3" s="215"/>
      <c r="E3" s="215"/>
      <c r="F3" s="215"/>
    </row>
    <row r="4" spans="1:6" x14ac:dyDescent="0.2">
      <c r="B4" s="215"/>
      <c r="C4" s="215"/>
      <c r="D4" s="215"/>
      <c r="E4" s="215"/>
      <c r="F4" s="215"/>
    </row>
    <row r="5" spans="1:6" x14ac:dyDescent="0.2">
      <c r="B5" s="216"/>
      <c r="C5" s="216"/>
      <c r="D5" s="216"/>
      <c r="E5" s="216"/>
      <c r="F5" s="216"/>
    </row>
    <row r="6" spans="1:6" x14ac:dyDescent="0.2">
      <c r="B6" s="216"/>
      <c r="C6" s="216"/>
      <c r="D6" s="216"/>
      <c r="E6" s="216"/>
      <c r="F6" s="216"/>
    </row>
    <row r="7" spans="1:6" x14ac:dyDescent="0.2">
      <c r="B7" s="217"/>
      <c r="C7" s="217"/>
      <c r="D7" s="217"/>
      <c r="E7" s="217"/>
      <c r="F7" s="217"/>
    </row>
    <row r="8" spans="1:6" ht="15" thickBot="1" x14ac:dyDescent="0.25">
      <c r="B8" s="4"/>
      <c r="C8" s="64"/>
      <c r="D8" s="64"/>
      <c r="E8" s="64"/>
      <c r="F8" s="64"/>
    </row>
    <row r="9" spans="1:6" x14ac:dyDescent="0.2">
      <c r="A9" s="50"/>
      <c r="B9" s="51"/>
      <c r="C9" s="52"/>
      <c r="D9" s="52"/>
      <c r="E9" s="52"/>
      <c r="F9" s="53" t="s">
        <v>127</v>
      </c>
    </row>
    <row r="10" spans="1:6" ht="15" thickBot="1" x14ac:dyDescent="0.25">
      <c r="A10" s="50"/>
      <c r="B10" s="54" t="s">
        <v>12</v>
      </c>
      <c r="C10" s="55" t="s">
        <v>169</v>
      </c>
      <c r="D10" s="55" t="s">
        <v>170</v>
      </c>
      <c r="E10" s="55" t="s">
        <v>171</v>
      </c>
      <c r="F10" s="56" t="s">
        <v>113</v>
      </c>
    </row>
    <row r="11" spans="1:6" x14ac:dyDescent="0.2">
      <c r="A11" s="50">
        <v>511101</v>
      </c>
      <c r="B11" s="68" t="s">
        <v>114</v>
      </c>
      <c r="C11" s="69">
        <v>99024.068799999994</v>
      </c>
      <c r="D11" s="69">
        <v>0</v>
      </c>
      <c r="E11" s="69">
        <v>0</v>
      </c>
      <c r="F11" s="70">
        <f t="shared" ref="F11:F17" si="0">SUM(C11:E11)</f>
        <v>99024.068799999994</v>
      </c>
    </row>
    <row r="12" spans="1:6" x14ac:dyDescent="0.2">
      <c r="A12" s="50">
        <v>512401</v>
      </c>
      <c r="B12" s="68" t="s">
        <v>115</v>
      </c>
      <c r="C12" s="71">
        <v>14399.060528</v>
      </c>
      <c r="D12" s="71">
        <v>0</v>
      </c>
      <c r="E12" s="71">
        <v>0</v>
      </c>
      <c r="F12" s="72">
        <f t="shared" si="0"/>
        <v>14399.060528</v>
      </c>
    </row>
    <row r="13" spans="1:6" x14ac:dyDescent="0.2">
      <c r="A13" s="50">
        <v>521101</v>
      </c>
      <c r="B13" s="68" t="s">
        <v>116</v>
      </c>
      <c r="C13" s="71">
        <v>51918</v>
      </c>
      <c r="D13" s="71">
        <v>0</v>
      </c>
      <c r="E13" s="71">
        <v>0</v>
      </c>
      <c r="F13" s="72">
        <f t="shared" si="0"/>
        <v>51918</v>
      </c>
    </row>
    <row r="14" spans="1:6" x14ac:dyDescent="0.2">
      <c r="A14" s="50">
        <v>523501</v>
      </c>
      <c r="B14" s="68" t="s">
        <v>119</v>
      </c>
      <c r="C14" s="71">
        <v>4926</v>
      </c>
      <c r="D14" s="71">
        <v>0</v>
      </c>
      <c r="E14" s="71">
        <v>0</v>
      </c>
      <c r="F14" s="72">
        <f t="shared" si="0"/>
        <v>4926</v>
      </c>
    </row>
    <row r="15" spans="1:6" x14ac:dyDescent="0.2">
      <c r="A15" s="50">
        <v>523601</v>
      </c>
      <c r="B15" s="68" t="s">
        <v>120</v>
      </c>
      <c r="C15" s="71">
        <v>9500</v>
      </c>
      <c r="D15" s="71">
        <v>0</v>
      </c>
      <c r="E15" s="71">
        <v>0</v>
      </c>
      <c r="F15" s="72">
        <f t="shared" si="0"/>
        <v>9500</v>
      </c>
    </row>
    <row r="16" spans="1:6" x14ac:dyDescent="0.2">
      <c r="A16" s="50">
        <v>531101</v>
      </c>
      <c r="B16" s="68" t="s">
        <v>122</v>
      </c>
      <c r="C16" s="71">
        <v>2020</v>
      </c>
      <c r="D16" s="71">
        <v>0</v>
      </c>
      <c r="E16" s="71">
        <v>0</v>
      </c>
      <c r="F16" s="72">
        <f t="shared" si="0"/>
        <v>2020</v>
      </c>
    </row>
    <row r="17" spans="1:6" ht="15" thickBot="1" x14ac:dyDescent="0.25">
      <c r="A17" s="50">
        <v>531105</v>
      </c>
      <c r="B17" s="68" t="s">
        <v>123</v>
      </c>
      <c r="C17" s="71">
        <v>1257</v>
      </c>
      <c r="D17" s="71">
        <v>0</v>
      </c>
      <c r="E17" s="71">
        <v>0</v>
      </c>
      <c r="F17" s="72">
        <f t="shared" si="0"/>
        <v>1257</v>
      </c>
    </row>
    <row r="18" spans="1:6" ht="15" thickBot="1" x14ac:dyDescent="0.25">
      <c r="A18" s="50"/>
      <c r="B18" s="76" t="s">
        <v>173</v>
      </c>
      <c r="C18" s="77">
        <f>SUM(C11:C17)</f>
        <v>183044.12932800001</v>
      </c>
      <c r="D18" s="77">
        <f t="shared" ref="D18" si="1">SUM(D11:D17)</f>
        <v>0</v>
      </c>
      <c r="E18" s="77">
        <f>SUM(E11:E17)</f>
        <v>0</v>
      </c>
      <c r="F18" s="78">
        <f>SUM(F11:F17)</f>
        <v>183044.12932800001</v>
      </c>
    </row>
    <row r="19" spans="1:6" ht="15" thickBot="1" x14ac:dyDescent="0.25">
      <c r="A19" s="50"/>
      <c r="B19" s="79" t="s">
        <v>174</v>
      </c>
      <c r="C19" s="80">
        <v>178053.72298600001</v>
      </c>
      <c r="D19" s="80">
        <v>0</v>
      </c>
      <c r="E19" s="80">
        <v>0</v>
      </c>
      <c r="F19" s="81">
        <f>SUM(C19:E19)</f>
        <v>178053.72298600001</v>
      </c>
    </row>
    <row r="20" spans="1:6" ht="15.75" thickTop="1" thickBot="1" x14ac:dyDescent="0.25">
      <c r="A20" s="50"/>
      <c r="B20" s="82" t="s">
        <v>175</v>
      </c>
      <c r="C20" s="83">
        <f>C18-C19</f>
        <v>4990.406342000002</v>
      </c>
      <c r="D20" s="83">
        <f t="shared" ref="D20:F20" si="2">D18-D19</f>
        <v>0</v>
      </c>
      <c r="E20" s="83">
        <f t="shared" si="2"/>
        <v>0</v>
      </c>
      <c r="F20" s="84">
        <f t="shared" si="2"/>
        <v>4990.406342000002</v>
      </c>
    </row>
  </sheetData>
  <mergeCells count="4">
    <mergeCell ref="B2:F4"/>
    <mergeCell ref="B5:F5"/>
    <mergeCell ref="B6:F6"/>
    <mergeCell ref="B7:F7"/>
  </mergeCells>
  <conditionalFormatting sqref="B19:C19">
    <cfRule type="cellIs" dxfId="29" priority="1" operator="lessThan">
      <formula>0</formula>
    </cfRule>
  </conditionalFormatting>
  <conditionalFormatting sqref="C20:F20">
    <cfRule type="cellIs" dxfId="28" priority="2" operator="lessThan">
      <formula>0</formula>
    </cfRule>
  </conditionalFormatting>
  <pageMargins left="0.75" right="0.75" top="1" bottom="1" header="0.5" footer="0.5"/>
  <pageSetup scale="94" orientation="portrait" r:id="rId1"/>
  <drawing r:id="rId2"/>
  <legacyDrawing r:id="rId3"/>
  <controls>
    <mc:AlternateContent xmlns:mc="http://schemas.openxmlformats.org/markup-compatibility/2006">
      <mc:Choice Requires="x14">
        <control shapeId="20483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1</xdr:col>
                <xdr:colOff>2171700</xdr:colOff>
                <xdr:row>1</xdr:row>
                <xdr:rowOff>47625</xdr:rowOff>
              </to>
            </anchor>
          </controlPr>
        </control>
      </mc:Choice>
      <mc:Fallback>
        <control shapeId="20483" r:id="rId4" name="Control 3"/>
      </mc:Fallback>
    </mc:AlternateContent>
    <mc:AlternateContent xmlns:mc="http://schemas.openxmlformats.org/markup-compatibility/2006">
      <mc:Choice Requires="x14">
        <control shapeId="20482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1543050</xdr:colOff>
                <xdr:row>1</xdr:row>
                <xdr:rowOff>47625</xdr:rowOff>
              </to>
            </anchor>
          </controlPr>
        </control>
      </mc:Choice>
      <mc:Fallback>
        <control shapeId="20482" r:id="rId6" name="Control 2"/>
      </mc:Fallback>
    </mc:AlternateContent>
    <mc:AlternateContent xmlns:mc="http://schemas.openxmlformats.org/markup-compatibility/2006">
      <mc:Choice Requires="x14">
        <control shapeId="20481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923925</xdr:colOff>
                <xdr:row>1</xdr:row>
                <xdr:rowOff>47625</xdr:rowOff>
              </to>
            </anchor>
          </controlPr>
        </control>
      </mc:Choice>
      <mc:Fallback>
        <control shapeId="20481" r:id="rId8" name="Control 1"/>
      </mc:Fallback>
    </mc:AlternateContent>
  </control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5C70D-9C36-4F08-990C-4F6C336FC00D}">
  <sheetPr codeName="Sheet6"/>
  <dimension ref="A2:F30"/>
  <sheetViews>
    <sheetView showGridLines="0" topLeftCell="A4" zoomScaleNormal="100" workbookViewId="0">
      <selection activeCell="I18" sqref="I18"/>
    </sheetView>
  </sheetViews>
  <sheetFormatPr defaultColWidth="9.140625" defaultRowHeight="14.25" x14ac:dyDescent="0.2"/>
  <cols>
    <col min="1" max="1" width="8" style="49" customWidth="1"/>
    <col min="2" max="2" width="32.42578125" style="49" customWidth="1"/>
    <col min="3" max="3" width="12.28515625" style="49" bestFit="1" customWidth="1"/>
    <col min="4" max="5" width="9.85546875" style="49" customWidth="1"/>
    <col min="6" max="6" width="11.5703125" style="49" customWidth="1"/>
    <col min="7" max="8" width="9.140625" style="49"/>
    <col min="9" max="9" width="11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x14ac:dyDescent="0.2">
      <c r="B7" s="220"/>
      <c r="C7" s="220"/>
      <c r="D7" s="220"/>
      <c r="E7" s="220"/>
      <c r="F7" s="220"/>
    </row>
    <row r="8" spans="1:6" x14ac:dyDescent="0.2">
      <c r="B8" s="220"/>
      <c r="C8" s="220"/>
      <c r="D8" s="220"/>
      <c r="E8" s="220"/>
      <c r="F8" s="220"/>
    </row>
    <row r="9" spans="1:6" ht="6" customHeight="1" thickBot="1" x14ac:dyDescent="0.25">
      <c r="B9" s="86"/>
      <c r="C9" s="86"/>
      <c r="D9" s="86"/>
      <c r="E9" s="86"/>
      <c r="F9" s="86"/>
    </row>
    <row r="10" spans="1:6" ht="24.75" thickBot="1" x14ac:dyDescent="0.25">
      <c r="A10" s="50"/>
      <c r="B10" s="65" t="s">
        <v>12</v>
      </c>
      <c r="C10" s="66" t="s">
        <v>169</v>
      </c>
      <c r="D10" s="66" t="s">
        <v>170</v>
      </c>
      <c r="E10" s="66" t="s">
        <v>171</v>
      </c>
      <c r="F10" s="67" t="s">
        <v>172</v>
      </c>
    </row>
    <row r="11" spans="1:6" x14ac:dyDescent="0.2">
      <c r="A11" s="50">
        <v>511101</v>
      </c>
      <c r="B11" s="87" t="s">
        <v>114</v>
      </c>
      <c r="C11" s="88">
        <v>1707646.6303999999</v>
      </c>
      <c r="D11" s="89">
        <v>0</v>
      </c>
      <c r="E11" s="89">
        <v>0</v>
      </c>
      <c r="F11" s="90">
        <f t="shared" ref="F11:F23" si="0">SUM(C11:E11)</f>
        <v>1707646.6303999999</v>
      </c>
    </row>
    <row r="12" spans="1:6" x14ac:dyDescent="0.2">
      <c r="A12" s="50">
        <v>512401</v>
      </c>
      <c r="B12" s="68" t="s">
        <v>115</v>
      </c>
      <c r="C12" s="71">
        <v>237482.85127800002</v>
      </c>
      <c r="D12" s="71">
        <v>0</v>
      </c>
      <c r="E12" s="71">
        <v>0</v>
      </c>
      <c r="F12" s="72">
        <f t="shared" si="0"/>
        <v>237482.85127800002</v>
      </c>
    </row>
    <row r="13" spans="1:6" x14ac:dyDescent="0.2">
      <c r="A13" s="50">
        <v>521101</v>
      </c>
      <c r="B13" s="68" t="s">
        <v>116</v>
      </c>
      <c r="C13" s="71">
        <v>5308</v>
      </c>
      <c r="D13" s="71">
        <v>0</v>
      </c>
      <c r="E13" s="71">
        <v>0</v>
      </c>
      <c r="F13" s="72">
        <f t="shared" si="0"/>
        <v>5308</v>
      </c>
    </row>
    <row r="14" spans="1:6" x14ac:dyDescent="0.2">
      <c r="A14" s="50">
        <v>521201</v>
      </c>
      <c r="B14" s="68" t="s">
        <v>117</v>
      </c>
      <c r="C14" s="71">
        <v>710</v>
      </c>
      <c r="D14" s="71">
        <v>0</v>
      </c>
      <c r="E14" s="71">
        <v>0</v>
      </c>
      <c r="F14" s="72">
        <f t="shared" si="0"/>
        <v>710</v>
      </c>
    </row>
    <row r="15" spans="1:6" x14ac:dyDescent="0.2">
      <c r="A15" s="50">
        <v>521203</v>
      </c>
      <c r="B15" s="68" t="s">
        <v>124</v>
      </c>
      <c r="C15" s="71">
        <v>200000</v>
      </c>
      <c r="D15" s="71">
        <v>0</v>
      </c>
      <c r="E15" s="71">
        <v>0</v>
      </c>
      <c r="F15" s="72">
        <f t="shared" si="0"/>
        <v>200000</v>
      </c>
    </row>
    <row r="16" spans="1:6" x14ac:dyDescent="0.2">
      <c r="A16" s="50">
        <v>523304</v>
      </c>
      <c r="B16" s="68" t="s">
        <v>118</v>
      </c>
      <c r="C16" s="71">
        <v>164</v>
      </c>
      <c r="D16" s="71">
        <v>0</v>
      </c>
      <c r="E16" s="71">
        <v>0</v>
      </c>
      <c r="F16" s="72">
        <f t="shared" si="0"/>
        <v>164</v>
      </c>
    </row>
    <row r="17" spans="1:6" x14ac:dyDescent="0.2">
      <c r="A17" s="50">
        <v>523401</v>
      </c>
      <c r="B17" s="68" t="s">
        <v>125</v>
      </c>
      <c r="C17" s="71">
        <v>2900</v>
      </c>
      <c r="D17" s="71">
        <v>0</v>
      </c>
      <c r="E17" s="71">
        <v>0</v>
      </c>
      <c r="F17" s="72">
        <f t="shared" si="0"/>
        <v>2900</v>
      </c>
    </row>
    <row r="18" spans="1:6" x14ac:dyDescent="0.2">
      <c r="A18" s="50">
        <v>523501</v>
      </c>
      <c r="B18" s="68" t="s">
        <v>119</v>
      </c>
      <c r="C18" s="71">
        <v>5826</v>
      </c>
      <c r="D18" s="71">
        <v>0</v>
      </c>
      <c r="E18" s="71">
        <v>0</v>
      </c>
      <c r="F18" s="72">
        <f t="shared" si="0"/>
        <v>5826</v>
      </c>
    </row>
    <row r="19" spans="1:6" x14ac:dyDescent="0.2">
      <c r="A19" s="50">
        <v>523601</v>
      </c>
      <c r="B19" s="68" t="s">
        <v>120</v>
      </c>
      <c r="C19" s="71">
        <v>6289</v>
      </c>
      <c r="D19" s="71">
        <v>0</v>
      </c>
      <c r="E19" s="71">
        <v>0</v>
      </c>
      <c r="F19" s="72">
        <f t="shared" si="0"/>
        <v>6289</v>
      </c>
    </row>
    <row r="20" spans="1:6" x14ac:dyDescent="0.2">
      <c r="A20" s="50">
        <v>523701</v>
      </c>
      <c r="B20" s="68" t="s">
        <v>121</v>
      </c>
      <c r="C20" s="71">
        <v>3823</v>
      </c>
      <c r="D20" s="71">
        <v>0</v>
      </c>
      <c r="E20" s="71">
        <v>0</v>
      </c>
      <c r="F20" s="72">
        <f t="shared" si="0"/>
        <v>3823</v>
      </c>
    </row>
    <row r="21" spans="1:6" x14ac:dyDescent="0.2">
      <c r="A21" s="50">
        <v>523801</v>
      </c>
      <c r="B21" s="68" t="s">
        <v>126</v>
      </c>
      <c r="C21" s="71">
        <v>644</v>
      </c>
      <c r="D21" s="71">
        <v>0</v>
      </c>
      <c r="E21" s="71">
        <v>0</v>
      </c>
      <c r="F21" s="72">
        <f t="shared" si="0"/>
        <v>644</v>
      </c>
    </row>
    <row r="22" spans="1:6" x14ac:dyDescent="0.2">
      <c r="A22" s="50">
        <v>531101</v>
      </c>
      <c r="B22" s="68" t="s">
        <v>122</v>
      </c>
      <c r="C22" s="71">
        <v>5442</v>
      </c>
      <c r="D22" s="71">
        <v>0</v>
      </c>
      <c r="E22" s="71">
        <v>0</v>
      </c>
      <c r="F22" s="72">
        <f t="shared" si="0"/>
        <v>5442</v>
      </c>
    </row>
    <row r="23" spans="1:6" ht="15" thickBot="1" x14ac:dyDescent="0.25">
      <c r="A23" s="50">
        <v>531105</v>
      </c>
      <c r="B23" s="73" t="s">
        <v>123</v>
      </c>
      <c r="C23" s="71">
        <v>420</v>
      </c>
      <c r="D23" s="74">
        <v>0</v>
      </c>
      <c r="E23" s="74">
        <v>0</v>
      </c>
      <c r="F23" s="75">
        <f t="shared" si="0"/>
        <v>420</v>
      </c>
    </row>
    <row r="24" spans="1:6" ht="15" thickBot="1" x14ac:dyDescent="0.25">
      <c r="A24" s="50"/>
      <c r="B24" s="76" t="s">
        <v>173</v>
      </c>
      <c r="C24" s="77">
        <f>SUM(C11:C23)</f>
        <v>2176655.4816779997</v>
      </c>
      <c r="D24" s="77">
        <f>SUM(D11:D23)</f>
        <v>0</v>
      </c>
      <c r="E24" s="77">
        <f>SUM(E11:E23)</f>
        <v>0</v>
      </c>
      <c r="F24" s="78">
        <f>SUM(F11:F23)</f>
        <v>2176655.4816779997</v>
      </c>
    </row>
    <row r="25" spans="1:6" ht="15" thickBot="1" x14ac:dyDescent="0.25">
      <c r="A25" s="50"/>
      <c r="B25" s="91" t="s">
        <v>174</v>
      </c>
      <c r="C25" s="80">
        <v>1868697.695268</v>
      </c>
      <c r="D25" s="80">
        <v>0</v>
      </c>
      <c r="E25" s="80">
        <v>0</v>
      </c>
      <c r="F25" s="81">
        <f>SUM(C25:E25)</f>
        <v>1868697.695268</v>
      </c>
    </row>
    <row r="26" spans="1:6" ht="15.75" thickTop="1" thickBot="1" x14ac:dyDescent="0.25">
      <c r="A26" s="50"/>
      <c r="B26" s="82" t="s">
        <v>175</v>
      </c>
      <c r="C26" s="83">
        <f>C24-C25</f>
        <v>307957.78640999971</v>
      </c>
      <c r="D26" s="83">
        <f t="shared" ref="D26:F26" si="1">D24-D25</f>
        <v>0</v>
      </c>
      <c r="E26" s="83">
        <f t="shared" si="1"/>
        <v>0</v>
      </c>
      <c r="F26" s="84">
        <f t="shared" si="1"/>
        <v>307957.78640999971</v>
      </c>
    </row>
    <row r="28" spans="1:6" x14ac:dyDescent="0.2">
      <c r="D28" s="62"/>
      <c r="E28" s="62"/>
    </row>
    <row r="29" spans="1:6" x14ac:dyDescent="0.2">
      <c r="C29" s="62"/>
    </row>
    <row r="30" spans="1:6" x14ac:dyDescent="0.2">
      <c r="C30" s="62"/>
    </row>
  </sheetData>
  <mergeCells count="4">
    <mergeCell ref="B2:F4"/>
    <mergeCell ref="B5:F5"/>
    <mergeCell ref="B6:F6"/>
    <mergeCell ref="B7:F8"/>
  </mergeCells>
  <conditionalFormatting sqref="C11 C26:F26">
    <cfRule type="cellIs" dxfId="27" priority="3" operator="lessThan">
      <formula>0</formula>
    </cfRule>
  </conditionalFormatting>
  <conditionalFormatting sqref="C24:C25">
    <cfRule type="cellIs" dxfId="26" priority="1" operator="lessThan">
      <formula>0</formula>
    </cfRule>
  </conditionalFormatting>
  <pageMargins left="0.75" right="0.75" top="1" bottom="1" header="0.5" footer="0.5"/>
  <pageSetup scale="97" orientation="portrait" r:id="rId1"/>
  <drawing r:id="rId2"/>
  <legacyDrawing r:id="rId3"/>
  <controls>
    <mc:AlternateContent xmlns:mc="http://schemas.openxmlformats.org/markup-compatibility/2006">
      <mc:Choice Requires="x14">
        <control shapeId="21507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2</xdr:col>
                <xdr:colOff>0</xdr:colOff>
                <xdr:row>1</xdr:row>
                <xdr:rowOff>47625</xdr:rowOff>
              </to>
            </anchor>
          </controlPr>
        </control>
      </mc:Choice>
      <mc:Fallback>
        <control shapeId="21507" r:id="rId4" name="Control 3"/>
      </mc:Fallback>
    </mc:AlternateContent>
    <mc:AlternateContent xmlns:mc="http://schemas.openxmlformats.org/markup-compatibility/2006">
      <mc:Choice Requires="x14">
        <control shapeId="21506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1533525</xdr:colOff>
                <xdr:row>1</xdr:row>
                <xdr:rowOff>47625</xdr:rowOff>
              </to>
            </anchor>
          </controlPr>
        </control>
      </mc:Choice>
      <mc:Fallback>
        <control shapeId="21506" r:id="rId6" name="Control 2"/>
      </mc:Fallback>
    </mc:AlternateContent>
    <mc:AlternateContent xmlns:mc="http://schemas.openxmlformats.org/markup-compatibility/2006">
      <mc:Choice Requires="x14">
        <control shapeId="21505" r:id="rId8" name="Control 1">
          <controlPr defaultSize="0" r:id="rId9">
            <anchor moveWithCells="1">
              <from>
                <xdr:col>1</xdr:col>
                <xdr:colOff>561975</xdr:colOff>
                <xdr:row>0</xdr:row>
                <xdr:rowOff>0</xdr:rowOff>
              </from>
              <to>
                <xdr:col>1</xdr:col>
                <xdr:colOff>1476375</xdr:colOff>
                <xdr:row>1</xdr:row>
                <xdr:rowOff>47625</xdr:rowOff>
              </to>
            </anchor>
          </controlPr>
        </control>
      </mc:Choice>
      <mc:Fallback>
        <control shapeId="21505" r:id="rId8" name="Control 1"/>
      </mc:Fallback>
    </mc:AlternateContent>
  </control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D8622-CFBC-4154-89EC-10F213BEC488}">
  <sheetPr codeName="Sheet15"/>
  <dimension ref="A2:L26"/>
  <sheetViews>
    <sheetView showGridLines="0" zoomScale="120" zoomScaleNormal="120" workbookViewId="0">
      <selection activeCell="I18" sqref="I18"/>
    </sheetView>
  </sheetViews>
  <sheetFormatPr defaultColWidth="9.140625" defaultRowHeight="14.25" x14ac:dyDescent="0.2"/>
  <cols>
    <col min="1" max="1" width="7.85546875" style="49" bestFit="1" customWidth="1"/>
    <col min="2" max="2" width="32.42578125" style="49" customWidth="1"/>
    <col min="3" max="5" width="10.5703125" style="49" customWidth="1"/>
    <col min="6" max="6" width="11.5703125" style="49" customWidth="1"/>
    <col min="7" max="11" width="9.140625" style="49"/>
    <col min="12" max="12" width="11.5703125" style="49" bestFit="1" customWidth="1"/>
    <col min="13" max="16384" width="9.140625" style="49"/>
  </cols>
  <sheetData>
    <row r="2" spans="1:12" x14ac:dyDescent="0.2">
      <c r="B2" s="218"/>
      <c r="C2" s="218"/>
      <c r="D2" s="218"/>
      <c r="E2" s="218"/>
      <c r="F2" s="218"/>
    </row>
    <row r="3" spans="1:12" x14ac:dyDescent="0.2">
      <c r="B3" s="218"/>
      <c r="C3" s="218"/>
      <c r="D3" s="218"/>
      <c r="E3" s="218"/>
      <c r="F3" s="218"/>
    </row>
    <row r="4" spans="1:12" x14ac:dyDescent="0.2">
      <c r="B4" s="218"/>
      <c r="C4" s="218"/>
      <c r="D4" s="218"/>
      <c r="E4" s="218"/>
      <c r="F4" s="218"/>
    </row>
    <row r="5" spans="1:12" x14ac:dyDescent="0.2">
      <c r="B5" s="219"/>
      <c r="C5" s="219"/>
      <c r="D5" s="219"/>
      <c r="E5" s="219"/>
      <c r="F5" s="219"/>
    </row>
    <row r="6" spans="1:12" x14ac:dyDescent="0.2">
      <c r="B6" s="219"/>
      <c r="C6" s="219"/>
      <c r="D6" s="219"/>
      <c r="E6" s="219"/>
      <c r="F6" s="219"/>
    </row>
    <row r="7" spans="1:12" x14ac:dyDescent="0.2">
      <c r="B7" s="220"/>
      <c r="C7" s="220"/>
      <c r="D7" s="220"/>
      <c r="E7" s="220"/>
      <c r="F7" s="220"/>
    </row>
    <row r="8" spans="1:12" ht="15" thickBot="1" x14ac:dyDescent="0.25">
      <c r="B8" s="220"/>
      <c r="C8" s="220"/>
      <c r="D8" s="220"/>
      <c r="E8" s="220"/>
      <c r="F8" s="220"/>
    </row>
    <row r="9" spans="1:12" ht="24.75" thickBot="1" x14ac:dyDescent="0.25">
      <c r="A9" s="50"/>
      <c r="B9" s="92" t="s">
        <v>12</v>
      </c>
      <c r="C9" s="66" t="s">
        <v>169</v>
      </c>
      <c r="D9" s="66" t="s">
        <v>170</v>
      </c>
      <c r="E9" s="66" t="s">
        <v>171</v>
      </c>
      <c r="F9" s="93" t="s">
        <v>172</v>
      </c>
    </row>
    <row r="10" spans="1:12" x14ac:dyDescent="0.2">
      <c r="A10" s="50">
        <v>511101</v>
      </c>
      <c r="B10" s="94" t="s">
        <v>114</v>
      </c>
      <c r="C10" s="88">
        <v>1467502.4983999999</v>
      </c>
      <c r="D10" s="88">
        <v>0</v>
      </c>
      <c r="E10" s="88">
        <v>0</v>
      </c>
      <c r="F10" s="90">
        <f t="shared" ref="F10:F20" si="0">SUM(C10:E10)</f>
        <v>1467502.4983999999</v>
      </c>
    </row>
    <row r="11" spans="1:12" x14ac:dyDescent="0.2">
      <c r="A11" s="50">
        <v>512401</v>
      </c>
      <c r="B11" s="95" t="s">
        <v>115</v>
      </c>
      <c r="C11" s="96">
        <v>210259.76101800002</v>
      </c>
      <c r="D11" s="96">
        <v>0</v>
      </c>
      <c r="E11" s="96">
        <v>0</v>
      </c>
      <c r="F11" s="97">
        <f t="shared" si="0"/>
        <v>210259.76101800002</v>
      </c>
    </row>
    <row r="12" spans="1:12" x14ac:dyDescent="0.2">
      <c r="A12" s="50">
        <v>521101</v>
      </c>
      <c r="B12" s="95" t="s">
        <v>116</v>
      </c>
      <c r="C12" s="96">
        <v>1581</v>
      </c>
      <c r="D12" s="96">
        <v>0</v>
      </c>
      <c r="E12" s="96">
        <v>0</v>
      </c>
      <c r="F12" s="97">
        <f t="shared" si="0"/>
        <v>1581</v>
      </c>
    </row>
    <row r="13" spans="1:12" x14ac:dyDescent="0.2">
      <c r="A13" s="50">
        <v>523203</v>
      </c>
      <c r="B13" s="95" t="s">
        <v>128</v>
      </c>
      <c r="C13" s="96">
        <v>13369</v>
      </c>
      <c r="D13" s="96">
        <v>19000</v>
      </c>
      <c r="E13" s="96">
        <v>12000</v>
      </c>
      <c r="F13" s="97">
        <f t="shared" si="0"/>
        <v>44369</v>
      </c>
    </row>
    <row r="14" spans="1:12" x14ac:dyDescent="0.2">
      <c r="A14" s="50">
        <v>523304</v>
      </c>
      <c r="B14" s="95" t="s">
        <v>118</v>
      </c>
      <c r="C14" s="96">
        <v>117740</v>
      </c>
      <c r="D14" s="96">
        <v>0</v>
      </c>
      <c r="E14" s="96">
        <v>0</v>
      </c>
      <c r="F14" s="97">
        <f t="shared" si="0"/>
        <v>117740</v>
      </c>
    </row>
    <row r="15" spans="1:12" x14ac:dyDescent="0.2">
      <c r="A15" s="50">
        <v>523501</v>
      </c>
      <c r="B15" s="95" t="s">
        <v>119</v>
      </c>
      <c r="C15" s="96">
        <v>15620</v>
      </c>
      <c r="D15" s="96">
        <v>0</v>
      </c>
      <c r="E15" s="96">
        <v>0</v>
      </c>
      <c r="F15" s="97">
        <f t="shared" si="0"/>
        <v>15620</v>
      </c>
      <c r="L15" s="61"/>
    </row>
    <row r="16" spans="1:12" x14ac:dyDescent="0.2">
      <c r="A16" s="50">
        <v>523601</v>
      </c>
      <c r="B16" s="95" t="s">
        <v>120</v>
      </c>
      <c r="C16" s="96">
        <v>70397.25</v>
      </c>
      <c r="D16" s="96">
        <v>0</v>
      </c>
      <c r="E16" s="96">
        <v>0</v>
      </c>
      <c r="F16" s="97">
        <f t="shared" si="0"/>
        <v>70397.25</v>
      </c>
    </row>
    <row r="17" spans="1:6" x14ac:dyDescent="0.2">
      <c r="A17" s="50">
        <v>523701</v>
      </c>
      <c r="B17" s="95" t="s">
        <v>121</v>
      </c>
      <c r="C17" s="96">
        <v>13844</v>
      </c>
      <c r="D17" s="96">
        <v>0</v>
      </c>
      <c r="E17" s="96">
        <v>0</v>
      </c>
      <c r="F17" s="97">
        <f t="shared" si="0"/>
        <v>13844</v>
      </c>
    </row>
    <row r="18" spans="1:6" x14ac:dyDescent="0.2">
      <c r="A18" s="50">
        <v>523801</v>
      </c>
      <c r="B18" s="95" t="s">
        <v>126</v>
      </c>
      <c r="C18" s="96">
        <v>0</v>
      </c>
      <c r="D18" s="96">
        <v>0</v>
      </c>
      <c r="E18" s="96">
        <v>0</v>
      </c>
      <c r="F18" s="97">
        <f t="shared" si="0"/>
        <v>0</v>
      </c>
    </row>
    <row r="19" spans="1:6" x14ac:dyDescent="0.2">
      <c r="A19" s="50">
        <v>531101</v>
      </c>
      <c r="B19" s="95" t="s">
        <v>122</v>
      </c>
      <c r="C19" s="96">
        <v>5684</v>
      </c>
      <c r="D19" s="96">
        <v>0</v>
      </c>
      <c r="E19" s="96">
        <v>0</v>
      </c>
      <c r="F19" s="97">
        <f t="shared" si="0"/>
        <v>5684</v>
      </c>
    </row>
    <row r="20" spans="1:6" ht="15" thickBot="1" x14ac:dyDescent="0.25">
      <c r="A20" s="50">
        <v>531105</v>
      </c>
      <c r="B20" s="68" t="s">
        <v>123</v>
      </c>
      <c r="C20" s="96">
        <v>90</v>
      </c>
      <c r="D20" s="96">
        <v>0</v>
      </c>
      <c r="E20" s="96">
        <v>0</v>
      </c>
      <c r="F20" s="72">
        <f t="shared" si="0"/>
        <v>90</v>
      </c>
    </row>
    <row r="21" spans="1:6" ht="15" thickBot="1" x14ac:dyDescent="0.25">
      <c r="A21" s="50"/>
      <c r="B21" s="76" t="s">
        <v>173</v>
      </c>
      <c r="C21" s="77">
        <f>SUM(C10:C20)</f>
        <v>1916087.509418</v>
      </c>
      <c r="D21" s="77">
        <f>SUM(D10:D20)</f>
        <v>19000</v>
      </c>
      <c r="E21" s="77">
        <f>SUM(E10:E20)</f>
        <v>12000</v>
      </c>
      <c r="F21" s="78">
        <f>SUM(F10:F20)</f>
        <v>1947087.509418</v>
      </c>
    </row>
    <row r="22" spans="1:6" ht="15" thickBot="1" x14ac:dyDescent="0.25">
      <c r="A22" s="50"/>
      <c r="B22" s="91" t="s">
        <v>174</v>
      </c>
      <c r="C22" s="80">
        <v>1788431.140474</v>
      </c>
      <c r="D22" s="80">
        <v>19000</v>
      </c>
      <c r="E22" s="80">
        <v>12000</v>
      </c>
      <c r="F22" s="81">
        <f>SUM(C22:E22)</f>
        <v>1819431.140474</v>
      </c>
    </row>
    <row r="23" spans="1:6" ht="15.75" thickTop="1" thickBot="1" x14ac:dyDescent="0.25">
      <c r="A23" s="50"/>
      <c r="B23" s="82" t="s">
        <v>175</v>
      </c>
      <c r="C23" s="83">
        <f t="shared" ref="C23:D23" si="1">C21-C22</f>
        <v>127656.36894399999</v>
      </c>
      <c r="D23" s="98">
        <f t="shared" si="1"/>
        <v>0</v>
      </c>
      <c r="E23" s="98">
        <f>E21-E22</f>
        <v>0</v>
      </c>
      <c r="F23" s="84">
        <f t="shared" ref="F23" si="2">F21-F22</f>
        <v>127656.36894399999</v>
      </c>
    </row>
    <row r="26" spans="1:6" x14ac:dyDescent="0.2">
      <c r="B26" s="63"/>
      <c r="C26" s="61"/>
      <c r="E26" s="99"/>
    </row>
  </sheetData>
  <mergeCells count="4">
    <mergeCell ref="B2:F4"/>
    <mergeCell ref="B5:F5"/>
    <mergeCell ref="B6:F6"/>
    <mergeCell ref="B7:F8"/>
  </mergeCells>
  <conditionalFormatting sqref="C21:C22">
    <cfRule type="cellIs" dxfId="25" priority="2" operator="lessThan">
      <formula>0</formula>
    </cfRule>
  </conditionalFormatting>
  <conditionalFormatting sqref="C10:E10">
    <cfRule type="cellIs" dxfId="24" priority="1" operator="lessThan">
      <formula>0</formula>
    </cfRule>
  </conditionalFormatting>
  <conditionalFormatting sqref="C23:F23">
    <cfRule type="cellIs" dxfId="23" priority="3" operator="lessThan">
      <formula>0</formula>
    </cfRule>
  </conditionalFormatting>
  <pageMargins left="0.75" right="0.75" top="1" bottom="1" header="0.5" footer="0.5"/>
  <pageSetup scale="97" orientation="portrait" r:id="rId1"/>
  <drawing r:id="rId2"/>
  <legacyDrawing r:id="rId3"/>
  <controls>
    <mc:AlternateContent xmlns:mc="http://schemas.openxmlformats.org/markup-compatibility/2006">
      <mc:Choice Requires="x14">
        <control shapeId="22531" r:id="rId4" name="Control 3">
          <controlPr defaultSize="0" r:id="rId5">
            <anchor moveWithCells="1">
              <from>
                <xdr:col>1</xdr:col>
                <xdr:colOff>1257300</xdr:colOff>
                <xdr:row>0</xdr:row>
                <xdr:rowOff>0</xdr:rowOff>
              </from>
              <to>
                <xdr:col>2</xdr:col>
                <xdr:colOff>190500</xdr:colOff>
                <xdr:row>1</xdr:row>
                <xdr:rowOff>95250</xdr:rowOff>
              </to>
            </anchor>
          </controlPr>
        </control>
      </mc:Choice>
      <mc:Fallback>
        <control shapeId="22531" r:id="rId4" name="Control 3"/>
      </mc:Fallback>
    </mc:AlternateContent>
    <mc:AlternateContent xmlns:mc="http://schemas.openxmlformats.org/markup-compatibility/2006">
      <mc:Choice Requires="x14">
        <control shapeId="22530" r:id="rId6" name="Control 2">
          <controlPr defaultSize="0" r:id="rId7">
            <anchor moveWithCells="1">
              <from>
                <xdr:col>1</xdr:col>
                <xdr:colOff>628650</xdr:colOff>
                <xdr:row>0</xdr:row>
                <xdr:rowOff>0</xdr:rowOff>
              </from>
              <to>
                <xdr:col>1</xdr:col>
                <xdr:colOff>1724025</xdr:colOff>
                <xdr:row>1</xdr:row>
                <xdr:rowOff>95250</xdr:rowOff>
              </to>
            </anchor>
          </controlPr>
        </control>
      </mc:Choice>
      <mc:Fallback>
        <control shapeId="22530" r:id="rId6" name="Control 2"/>
      </mc:Fallback>
    </mc:AlternateContent>
    <mc:AlternateContent xmlns:mc="http://schemas.openxmlformats.org/markup-compatibility/2006">
      <mc:Choice Requires="x14">
        <control shapeId="22529" r:id="rId8" name="Control 1">
          <controlPr defaultSize="0" r:id="rId9">
            <anchor moveWithCells="1">
              <from>
                <xdr:col>1</xdr:col>
                <xdr:colOff>9525</xdr:colOff>
                <xdr:row>0</xdr:row>
                <xdr:rowOff>0</xdr:rowOff>
              </from>
              <to>
                <xdr:col>1</xdr:col>
                <xdr:colOff>1104900</xdr:colOff>
                <xdr:row>1</xdr:row>
                <xdr:rowOff>95250</xdr:rowOff>
              </to>
            </anchor>
          </controlPr>
        </control>
      </mc:Choice>
      <mc:Fallback>
        <control shapeId="22529" r:id="rId8" name="Control 1"/>
      </mc:Fallback>
    </mc:AlternateContent>
  </control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71996-6D41-4792-8AC8-6E8E58DAEF3D}">
  <sheetPr codeName="Sheet16">
    <tabColor rgb="FFFFC000"/>
  </sheetPr>
  <dimension ref="A2:I26"/>
  <sheetViews>
    <sheetView showGridLines="0" zoomScale="110" zoomScaleNormal="110" workbookViewId="0">
      <selection activeCell="I18" sqref="I18"/>
    </sheetView>
  </sheetViews>
  <sheetFormatPr defaultColWidth="9.140625" defaultRowHeight="14.25" x14ac:dyDescent="0.2"/>
  <cols>
    <col min="1" max="1" width="8.140625" style="49" bestFit="1" customWidth="1"/>
    <col min="2" max="2" width="32.42578125" style="49" customWidth="1"/>
    <col min="3" max="3" width="11.140625" style="49" customWidth="1"/>
    <col min="4" max="4" width="9.28515625" style="49" customWidth="1"/>
    <col min="5" max="5" width="11.140625" style="49" customWidth="1"/>
    <col min="6" max="6" width="11.5703125" style="49" customWidth="1"/>
    <col min="7" max="8" width="9.140625" style="49"/>
    <col min="9" max="9" width="11" style="49" bestFit="1" customWidth="1"/>
    <col min="10" max="16384" width="9.140625" style="49"/>
  </cols>
  <sheetData>
    <row r="2" spans="1:6" x14ac:dyDescent="0.2">
      <c r="B2" s="218"/>
      <c r="C2" s="218"/>
      <c r="D2" s="218"/>
      <c r="E2" s="218"/>
      <c r="F2" s="218"/>
    </row>
    <row r="3" spans="1:6" x14ac:dyDescent="0.2">
      <c r="B3" s="218"/>
      <c r="C3" s="218"/>
      <c r="D3" s="218"/>
      <c r="E3" s="218"/>
      <c r="F3" s="218"/>
    </row>
    <row r="4" spans="1:6" x14ac:dyDescent="0.2">
      <c r="B4" s="218"/>
      <c r="C4" s="218"/>
      <c r="D4" s="218"/>
      <c r="E4" s="218"/>
      <c r="F4" s="218"/>
    </row>
    <row r="5" spans="1:6" x14ac:dyDescent="0.2">
      <c r="B5" s="219"/>
      <c r="C5" s="219"/>
      <c r="D5" s="219"/>
      <c r="E5" s="219"/>
      <c r="F5" s="219"/>
    </row>
    <row r="6" spans="1:6" x14ac:dyDescent="0.2">
      <c r="B6" s="219"/>
      <c r="C6" s="219"/>
      <c r="D6" s="219"/>
      <c r="E6" s="219"/>
      <c r="F6" s="219"/>
    </row>
    <row r="7" spans="1:6" x14ac:dyDescent="0.2">
      <c r="B7" s="220"/>
      <c r="C7" s="220"/>
      <c r="D7" s="220"/>
      <c r="E7" s="220"/>
      <c r="F7" s="220"/>
    </row>
    <row r="8" spans="1:6" ht="15" thickBot="1" x14ac:dyDescent="0.25">
      <c r="B8" s="220"/>
      <c r="C8" s="220"/>
      <c r="D8" s="220"/>
      <c r="E8" s="220"/>
      <c r="F8" s="220"/>
    </row>
    <row r="9" spans="1:6" ht="24.75" thickBot="1" x14ac:dyDescent="0.25">
      <c r="A9" s="50"/>
      <c r="B9" s="65" t="s">
        <v>12</v>
      </c>
      <c r="C9" s="66" t="s">
        <v>169</v>
      </c>
      <c r="D9" s="66" t="s">
        <v>170</v>
      </c>
      <c r="E9" s="66" t="s">
        <v>171</v>
      </c>
      <c r="F9" s="67" t="s">
        <v>172</v>
      </c>
    </row>
    <row r="10" spans="1:6" x14ac:dyDescent="0.2">
      <c r="A10" s="50">
        <v>511101</v>
      </c>
      <c r="B10" s="87" t="s">
        <v>114</v>
      </c>
      <c r="C10" s="88">
        <v>1021447.084</v>
      </c>
      <c r="D10" s="88">
        <v>0</v>
      </c>
      <c r="E10" s="88">
        <v>0</v>
      </c>
      <c r="F10" s="100">
        <f t="shared" ref="F10:F22" si="0">SUM(C10:E10)</f>
        <v>1021447.084</v>
      </c>
    </row>
    <row r="11" spans="1:6" x14ac:dyDescent="0.2">
      <c r="A11" s="50">
        <v>512401</v>
      </c>
      <c r="B11" s="68" t="s">
        <v>115</v>
      </c>
      <c r="C11" s="96">
        <v>147262.26542100002</v>
      </c>
      <c r="D11" s="96">
        <v>0</v>
      </c>
      <c r="E11" s="96">
        <v>0</v>
      </c>
      <c r="F11" s="101">
        <f t="shared" si="0"/>
        <v>147262.26542100002</v>
      </c>
    </row>
    <row r="12" spans="1:6" x14ac:dyDescent="0.2">
      <c r="A12" s="50">
        <v>521201</v>
      </c>
      <c r="B12" s="95" t="s">
        <v>117</v>
      </c>
      <c r="C12" s="96">
        <v>360000</v>
      </c>
      <c r="D12" s="96">
        <v>0</v>
      </c>
      <c r="E12" s="96">
        <v>67900</v>
      </c>
      <c r="F12" s="101">
        <f t="shared" si="0"/>
        <v>427900</v>
      </c>
    </row>
    <row r="13" spans="1:6" x14ac:dyDescent="0.2">
      <c r="A13" s="50">
        <v>521204</v>
      </c>
      <c r="B13" s="95" t="s">
        <v>129</v>
      </c>
      <c r="C13" s="96">
        <v>100000</v>
      </c>
      <c r="D13" s="96">
        <v>0</v>
      </c>
      <c r="E13" s="96">
        <v>75000</v>
      </c>
      <c r="F13" s="101">
        <f t="shared" si="0"/>
        <v>175000</v>
      </c>
    </row>
    <row r="14" spans="1:6" x14ac:dyDescent="0.2">
      <c r="A14" s="50">
        <v>521205</v>
      </c>
      <c r="B14" s="95" t="s">
        <v>176</v>
      </c>
      <c r="C14" s="96">
        <v>0</v>
      </c>
      <c r="D14" s="96">
        <v>0</v>
      </c>
      <c r="E14" s="96">
        <v>91000</v>
      </c>
      <c r="F14" s="101">
        <f t="shared" si="0"/>
        <v>91000</v>
      </c>
    </row>
    <row r="15" spans="1:6" x14ac:dyDescent="0.2">
      <c r="A15" s="50">
        <v>521207</v>
      </c>
      <c r="B15" s="95" t="s">
        <v>130</v>
      </c>
      <c r="C15" s="96">
        <v>600000</v>
      </c>
      <c r="D15" s="96">
        <v>0</v>
      </c>
      <c r="E15" s="96">
        <v>500000</v>
      </c>
      <c r="F15" s="101">
        <f t="shared" si="0"/>
        <v>1100000</v>
      </c>
    </row>
    <row r="16" spans="1:6" x14ac:dyDescent="0.2">
      <c r="A16" s="50">
        <v>523401</v>
      </c>
      <c r="B16" s="58" t="s">
        <v>125</v>
      </c>
      <c r="C16" s="96">
        <v>6186</v>
      </c>
      <c r="D16" s="96">
        <v>0</v>
      </c>
      <c r="E16" s="96">
        <v>0</v>
      </c>
      <c r="F16" s="101">
        <f t="shared" si="0"/>
        <v>6186</v>
      </c>
    </row>
    <row r="17" spans="1:9" x14ac:dyDescent="0.2">
      <c r="A17" s="50">
        <v>523501</v>
      </c>
      <c r="B17" s="95" t="s">
        <v>119</v>
      </c>
      <c r="C17" s="96">
        <v>1633</v>
      </c>
      <c r="D17" s="96">
        <v>0</v>
      </c>
      <c r="E17" s="96">
        <v>0</v>
      </c>
      <c r="F17" s="101">
        <f t="shared" si="0"/>
        <v>1633</v>
      </c>
    </row>
    <row r="18" spans="1:9" x14ac:dyDescent="0.2">
      <c r="A18" s="50">
        <v>523601</v>
      </c>
      <c r="B18" s="95" t="s">
        <v>120</v>
      </c>
      <c r="C18" s="96">
        <v>475</v>
      </c>
      <c r="D18" s="96">
        <v>0</v>
      </c>
      <c r="E18" s="96">
        <v>0</v>
      </c>
      <c r="F18" s="101">
        <f t="shared" si="0"/>
        <v>475</v>
      </c>
    </row>
    <row r="19" spans="1:9" x14ac:dyDescent="0.2">
      <c r="A19" s="50">
        <v>523701</v>
      </c>
      <c r="B19" s="95" t="s">
        <v>121</v>
      </c>
      <c r="C19" s="96">
        <v>1821</v>
      </c>
      <c r="D19" s="96">
        <v>0</v>
      </c>
      <c r="E19" s="96">
        <v>0</v>
      </c>
      <c r="F19" s="101">
        <f t="shared" si="0"/>
        <v>1821</v>
      </c>
    </row>
    <row r="20" spans="1:9" x14ac:dyDescent="0.2">
      <c r="A20" s="50">
        <v>531101</v>
      </c>
      <c r="B20" s="95" t="s">
        <v>122</v>
      </c>
      <c r="C20" s="96">
        <v>883</v>
      </c>
      <c r="D20" s="96">
        <v>0</v>
      </c>
      <c r="E20" s="96">
        <v>0</v>
      </c>
      <c r="F20" s="101">
        <f t="shared" si="0"/>
        <v>883</v>
      </c>
    </row>
    <row r="21" spans="1:9" x14ac:dyDescent="0.2">
      <c r="A21" s="50">
        <v>531105</v>
      </c>
      <c r="B21" s="95" t="s">
        <v>123</v>
      </c>
      <c r="C21" s="96">
        <v>352</v>
      </c>
      <c r="D21" s="96">
        <v>0</v>
      </c>
      <c r="E21" s="96">
        <v>0</v>
      </c>
      <c r="F21" s="101">
        <f t="shared" si="0"/>
        <v>352</v>
      </c>
    </row>
    <row r="22" spans="1:9" x14ac:dyDescent="0.2">
      <c r="A22" s="50">
        <v>573001</v>
      </c>
      <c r="B22" s="95" t="s">
        <v>131</v>
      </c>
      <c r="C22" s="96">
        <v>50000</v>
      </c>
      <c r="D22" s="96">
        <v>0</v>
      </c>
      <c r="E22" s="96">
        <v>0</v>
      </c>
      <c r="F22" s="101">
        <f t="shared" si="0"/>
        <v>50000</v>
      </c>
    </row>
    <row r="23" spans="1:9" ht="4.3499999999999996" customHeight="1" thickBot="1" x14ac:dyDescent="0.25">
      <c r="A23" s="50"/>
      <c r="B23" s="68"/>
      <c r="C23" s="71"/>
      <c r="D23" s="71"/>
      <c r="E23" s="71"/>
      <c r="F23" s="72"/>
    </row>
    <row r="24" spans="1:9" ht="15" thickBot="1" x14ac:dyDescent="0.25">
      <c r="A24" s="50"/>
      <c r="B24" s="76" t="s">
        <v>173</v>
      </c>
      <c r="C24" s="77">
        <f>SUM(C10:C23)</f>
        <v>2290059.3494210001</v>
      </c>
      <c r="D24" s="77">
        <f>SUM(D10:D23)</f>
        <v>0</v>
      </c>
      <c r="E24" s="77">
        <f>SUM(E10:E23)</f>
        <v>733900</v>
      </c>
      <c r="F24" s="78">
        <f>SUM(F10:F23)</f>
        <v>3023959.3494210001</v>
      </c>
      <c r="I24" s="62"/>
    </row>
    <row r="25" spans="1:9" ht="15" thickBot="1" x14ac:dyDescent="0.25">
      <c r="A25" s="50"/>
      <c r="B25" s="91" t="s">
        <v>174</v>
      </c>
      <c r="C25" s="80">
        <v>2239131.0559040001</v>
      </c>
      <c r="D25" s="80">
        <v>0</v>
      </c>
      <c r="E25" s="80">
        <v>233900</v>
      </c>
      <c r="F25" s="81">
        <f>SUM(C25:E25)</f>
        <v>2473031.0559040001</v>
      </c>
    </row>
    <row r="26" spans="1:9" ht="15.75" thickTop="1" thickBot="1" x14ac:dyDescent="0.25">
      <c r="A26" s="50"/>
      <c r="B26" s="82" t="s">
        <v>175</v>
      </c>
      <c r="C26" s="83">
        <f>C24-C25</f>
        <v>50928.293517000042</v>
      </c>
      <c r="D26" s="98">
        <f t="shared" ref="D26:F26" si="1">D24-D25</f>
        <v>0</v>
      </c>
      <c r="E26" s="83">
        <f t="shared" si="1"/>
        <v>500000</v>
      </c>
      <c r="F26" s="84">
        <f t="shared" si="1"/>
        <v>550928.29351700004</v>
      </c>
    </row>
  </sheetData>
  <mergeCells count="4">
    <mergeCell ref="B2:F4"/>
    <mergeCell ref="B5:F5"/>
    <mergeCell ref="B6:F6"/>
    <mergeCell ref="B7:F8"/>
  </mergeCells>
  <conditionalFormatting sqref="C10">
    <cfRule type="cellIs" dxfId="22" priority="1" operator="lessThan">
      <formula>0</formula>
    </cfRule>
  </conditionalFormatting>
  <conditionalFormatting sqref="C23:C25">
    <cfRule type="cellIs" dxfId="21" priority="2" operator="lessThan">
      <formula>0</formula>
    </cfRule>
  </conditionalFormatting>
  <conditionalFormatting sqref="C26:F26">
    <cfRule type="cellIs" dxfId="20" priority="4" operator="lessThan">
      <formula>0</formula>
    </cfRule>
  </conditionalFormatting>
  <pageMargins left="0.75" right="0.75" top="1" bottom="1" header="0.5" footer="0.5"/>
  <pageSetup scale="97" orientation="portrait" r:id="rId1"/>
  <drawing r:id="rId2"/>
  <legacyDrawing r:id="rId3"/>
  <controls>
    <mc:AlternateContent xmlns:mc="http://schemas.openxmlformats.org/markup-compatibility/2006">
      <mc:Choice Requires="x14">
        <control shapeId="23555" r:id="rId4" name="Control 3">
          <controlPr defaultSize="0" r:id="rId5">
            <anchor moveWithCells="1">
              <from>
                <xdr:col>1</xdr:col>
                <xdr:colOff>1247775</xdr:colOff>
                <xdr:row>0</xdr:row>
                <xdr:rowOff>0</xdr:rowOff>
              </from>
              <to>
                <xdr:col>2</xdr:col>
                <xdr:colOff>85725</xdr:colOff>
                <xdr:row>1</xdr:row>
                <xdr:rowOff>66675</xdr:rowOff>
              </to>
            </anchor>
          </controlPr>
        </control>
      </mc:Choice>
      <mc:Fallback>
        <control shapeId="23555" r:id="rId4" name="Control 3"/>
      </mc:Fallback>
    </mc:AlternateContent>
    <mc:AlternateContent xmlns:mc="http://schemas.openxmlformats.org/markup-compatibility/2006">
      <mc:Choice Requires="x14">
        <control shapeId="23554" r:id="rId6" name="Control 2">
          <controlPr defaultSize="0" r:id="rId7">
            <anchor moveWithCells="1">
              <from>
                <xdr:col>1</xdr:col>
                <xdr:colOff>619125</xdr:colOff>
                <xdr:row>0</xdr:row>
                <xdr:rowOff>0</xdr:rowOff>
              </from>
              <to>
                <xdr:col>1</xdr:col>
                <xdr:colOff>1628775</xdr:colOff>
                <xdr:row>1</xdr:row>
                <xdr:rowOff>66675</xdr:rowOff>
              </to>
            </anchor>
          </controlPr>
        </control>
      </mc:Choice>
      <mc:Fallback>
        <control shapeId="23554" r:id="rId6" name="Control 2"/>
      </mc:Fallback>
    </mc:AlternateContent>
    <mc:AlternateContent xmlns:mc="http://schemas.openxmlformats.org/markup-compatibility/2006">
      <mc:Choice Requires="x14">
        <control shapeId="23553" r:id="rId8" name="Control 1">
          <controlPr defaultSize="0" r:id="rId9">
            <anchor moveWithCells="1">
              <from>
                <xdr:col>1</xdr:col>
                <xdr:colOff>542925</xdr:colOff>
                <xdr:row>0</xdr:row>
                <xdr:rowOff>0</xdr:rowOff>
              </from>
              <to>
                <xdr:col>1</xdr:col>
                <xdr:colOff>1552575</xdr:colOff>
                <xdr:row>1</xdr:row>
                <xdr:rowOff>66675</xdr:rowOff>
              </to>
            </anchor>
          </controlPr>
        </control>
      </mc:Choice>
      <mc:Fallback>
        <control shapeId="23553" r:id="rId8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16</vt:i4>
      </vt:variant>
    </vt:vector>
  </HeadingPairs>
  <TitlesOfParts>
    <vt:vector size="36" baseType="lpstr">
      <vt:lpstr>OMF by Acct</vt:lpstr>
      <vt:lpstr>All Funds (not used)</vt:lpstr>
      <vt:lpstr>AllFundsBudgetByAccount (not us</vt:lpstr>
      <vt:lpstr>With TSA 2023</vt:lpstr>
      <vt:lpstr>Admin</vt:lpstr>
      <vt:lpstr>Board</vt:lpstr>
      <vt:lpstr>Accounting</vt:lpstr>
      <vt:lpstr>Procurement &amp; Bus Diversity</vt:lpstr>
      <vt:lpstr>Treasury</vt:lpstr>
      <vt:lpstr>Shared Svcs</vt:lpstr>
      <vt:lpstr>HR</vt:lpstr>
      <vt:lpstr>Internal Audit</vt:lpstr>
      <vt:lpstr>Legal</vt:lpstr>
      <vt:lpstr>Contact Center Coll</vt:lpstr>
      <vt:lpstr>IT</vt:lpstr>
      <vt:lpstr>Operations</vt:lpstr>
      <vt:lpstr>Maint</vt:lpstr>
      <vt:lpstr>PD</vt:lpstr>
      <vt:lpstr>Public Affairs</vt:lpstr>
      <vt:lpstr>TIM</vt:lpstr>
      <vt:lpstr>Accounting!Print_Area</vt:lpstr>
      <vt:lpstr>Admin!Print_Area</vt:lpstr>
      <vt:lpstr>Board!Print_Area</vt:lpstr>
      <vt:lpstr>'Contact Center Coll'!Print_Area</vt:lpstr>
      <vt:lpstr>HR!Print_Area</vt:lpstr>
      <vt:lpstr>'Internal Audit'!Print_Area</vt:lpstr>
      <vt:lpstr>IT!Print_Area</vt:lpstr>
      <vt:lpstr>Legal!Print_Area</vt:lpstr>
      <vt:lpstr>Maint!Print_Area</vt:lpstr>
      <vt:lpstr>Operations!Print_Area</vt:lpstr>
      <vt:lpstr>PD!Print_Area</vt:lpstr>
      <vt:lpstr>'Procurement &amp; Bus Diversity'!Print_Area</vt:lpstr>
      <vt:lpstr>'Shared Svcs'!Print_Area</vt:lpstr>
      <vt:lpstr>TIM!Print_Area</vt:lpstr>
      <vt:lpstr>Treasury!Print_Area</vt:lpstr>
      <vt:lpstr>'AllFundsBudgetByAccount (not us'!Print_Titles</vt:lpstr>
    </vt:vector>
  </TitlesOfParts>
  <Company>NTTA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Carter, Leigh</dc:creator>
  <cp:lastModifiedBy>McGaha, Sherra</cp:lastModifiedBy>
  <dcterms:created xsi:type="dcterms:W3CDTF">2014-08-19T16:12:53Z</dcterms:created>
  <dcterms:modified xsi:type="dcterms:W3CDTF">2025-12-29T18:25:03Z</dcterms:modified>
</cp:coreProperties>
</file>