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activeX/activeX2.xml" ContentType="application/vnd.ms-office.activeX+xml"/>
  <Override PartName="/xl/activeX/activeX1.xml" ContentType="application/vnd.ms-office.activeX+xml"/>
  <Override PartName="/xl/activeX/activeX1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2.bin" ContentType="application/vnd.ms-office.activeX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OMF by Acct" sheetId="2" r:id="rId1"/>
    <sheet name="Proposed All Funds Budget by Ac" sheetId="1" r:id="rId2"/>
  </sheets>
  <calcPr calcId="145621"/>
</workbook>
</file>

<file path=xl/calcChain.xml><?xml version="1.0" encoding="utf-8"?>
<calcChain xmlns="http://schemas.openxmlformats.org/spreadsheetml/2006/main">
  <c r="W71" i="2" l="1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W70" i="2"/>
  <c r="U70" i="2"/>
  <c r="T70" i="2"/>
  <c r="S70" i="2"/>
  <c r="S72" i="2" s="1"/>
  <c r="R70" i="2"/>
  <c r="Q70" i="2"/>
  <c r="P70" i="2"/>
  <c r="O70" i="2"/>
  <c r="N70" i="2"/>
  <c r="M70" i="2"/>
  <c r="M72" i="2" s="1"/>
  <c r="L70" i="2"/>
  <c r="K70" i="2"/>
  <c r="K72" i="2" s="1"/>
  <c r="J70" i="2"/>
  <c r="J72" i="2" s="1"/>
  <c r="I70" i="2"/>
  <c r="H70" i="2"/>
  <c r="G70" i="2"/>
  <c r="F70" i="2"/>
  <c r="E70" i="2"/>
  <c r="E72" i="2" s="1"/>
  <c r="D70" i="2"/>
  <c r="C70" i="2"/>
  <c r="W69" i="2"/>
  <c r="W72" i="2" s="1"/>
  <c r="U69" i="2"/>
  <c r="U72" i="2" s="1"/>
  <c r="T69" i="2"/>
  <c r="T72" i="2" s="1"/>
  <c r="S69" i="2"/>
  <c r="R69" i="2"/>
  <c r="R72" i="2" s="1"/>
  <c r="Q69" i="2"/>
  <c r="Q72" i="2" s="1"/>
  <c r="P69" i="2"/>
  <c r="O69" i="2"/>
  <c r="O72" i="2" s="1"/>
  <c r="N69" i="2"/>
  <c r="N72" i="2" s="1"/>
  <c r="M69" i="2"/>
  <c r="L69" i="2"/>
  <c r="L72" i="2" s="1"/>
  <c r="K69" i="2"/>
  <c r="J69" i="2"/>
  <c r="I69" i="2"/>
  <c r="I72" i="2" s="1"/>
  <c r="H69" i="2"/>
  <c r="G69" i="2"/>
  <c r="G72" i="2" s="1"/>
  <c r="F69" i="2"/>
  <c r="F72" i="2" s="1"/>
  <c r="E69" i="2"/>
  <c r="D69" i="2"/>
  <c r="D72" i="2" s="1"/>
  <c r="C69" i="2"/>
  <c r="W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W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W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W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W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W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W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W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W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W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W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W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W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W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W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W52" i="2"/>
  <c r="U52" i="2"/>
  <c r="T52" i="2"/>
  <c r="T68" i="2" s="1"/>
  <c r="S52" i="2"/>
  <c r="R52" i="2"/>
  <c r="Q52" i="2"/>
  <c r="Q68" i="2" s="1"/>
  <c r="P52" i="2"/>
  <c r="O52" i="2"/>
  <c r="O68" i="2" s="1"/>
  <c r="N52" i="2"/>
  <c r="N68" i="2" s="1"/>
  <c r="M52" i="2"/>
  <c r="L52" i="2"/>
  <c r="L68" i="2" s="1"/>
  <c r="K52" i="2"/>
  <c r="J52" i="2"/>
  <c r="I52" i="2"/>
  <c r="I68" i="2" s="1"/>
  <c r="H52" i="2"/>
  <c r="G52" i="2"/>
  <c r="G68" i="2" s="1"/>
  <c r="F52" i="2"/>
  <c r="F68" i="2" s="1"/>
  <c r="E52" i="2"/>
  <c r="D52" i="2"/>
  <c r="D68" i="2" s="1"/>
  <c r="C52" i="2"/>
  <c r="W50" i="2"/>
  <c r="Y50" i="2" s="1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W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W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W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W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W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V45" i="2" s="1"/>
  <c r="X45" i="2" s="1"/>
  <c r="E45" i="2"/>
  <c r="D45" i="2"/>
  <c r="C45" i="2"/>
  <c r="W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W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W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W41" i="2"/>
  <c r="Y41" i="2" s="1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W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W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W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W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V37" i="2" s="1"/>
  <c r="X37" i="2" s="1"/>
  <c r="E37" i="2"/>
  <c r="D37" i="2"/>
  <c r="C37" i="2"/>
  <c r="W36" i="2"/>
  <c r="Y36" i="2" s="1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W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W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W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W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W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W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W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V29" i="2" s="1"/>
  <c r="X29" i="2" s="1"/>
  <c r="E29" i="2"/>
  <c r="D29" i="2"/>
  <c r="C29" i="2"/>
  <c r="W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W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W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W25" i="2"/>
  <c r="U25" i="2"/>
  <c r="T25" i="2"/>
  <c r="S25" i="2"/>
  <c r="R25" i="2"/>
  <c r="Q25" i="2"/>
  <c r="Q51" i="2" s="1"/>
  <c r="P25" i="2"/>
  <c r="O25" i="2"/>
  <c r="O51" i="2" s="1"/>
  <c r="N25" i="2"/>
  <c r="N51" i="2" s="1"/>
  <c r="M25" i="2"/>
  <c r="L25" i="2"/>
  <c r="K25" i="2"/>
  <c r="J25" i="2"/>
  <c r="I25" i="2"/>
  <c r="I51" i="2" s="1"/>
  <c r="H25" i="2"/>
  <c r="G25" i="2"/>
  <c r="G51" i="2" s="1"/>
  <c r="F25" i="2"/>
  <c r="F51" i="2" s="1"/>
  <c r="E25" i="2"/>
  <c r="D25" i="2"/>
  <c r="C25" i="2"/>
  <c r="W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W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W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W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W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W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W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W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W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W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W13" i="2"/>
  <c r="U13" i="2"/>
  <c r="T13" i="2"/>
  <c r="S13" i="2"/>
  <c r="R13" i="2"/>
  <c r="Q13" i="2"/>
  <c r="P13" i="2"/>
  <c r="P24" i="2" s="1"/>
  <c r="O13" i="2"/>
  <c r="N13" i="2"/>
  <c r="M13" i="2"/>
  <c r="L13" i="2"/>
  <c r="K13" i="2"/>
  <c r="J13" i="2"/>
  <c r="I13" i="2"/>
  <c r="H13" i="2"/>
  <c r="H24" i="2" s="1"/>
  <c r="G13" i="2"/>
  <c r="F13" i="2"/>
  <c r="E13" i="2"/>
  <c r="D13" i="2"/>
  <c r="C13" i="2"/>
  <c r="W12" i="2"/>
  <c r="U12" i="2"/>
  <c r="T12" i="2"/>
  <c r="T24" i="2" s="1"/>
  <c r="S12" i="2"/>
  <c r="R12" i="2"/>
  <c r="Q12" i="2"/>
  <c r="P12" i="2"/>
  <c r="O12" i="2"/>
  <c r="O24" i="2" s="1"/>
  <c r="O74" i="2" s="1"/>
  <c r="N12" i="2"/>
  <c r="N24" i="2" s="1"/>
  <c r="N74" i="2" s="1"/>
  <c r="M12" i="2"/>
  <c r="L12" i="2"/>
  <c r="L24" i="2" s="1"/>
  <c r="K12" i="2"/>
  <c r="J12" i="2"/>
  <c r="I12" i="2"/>
  <c r="H12" i="2"/>
  <c r="G12" i="2"/>
  <c r="G24" i="2" s="1"/>
  <c r="G74" i="2" s="1"/>
  <c r="F12" i="2"/>
  <c r="F24" i="2" s="1"/>
  <c r="F74" i="2" s="1"/>
  <c r="E12" i="2"/>
  <c r="D12" i="2"/>
  <c r="D24" i="2" s="1"/>
  <c r="C12" i="2"/>
  <c r="V30" i="2" l="1"/>
  <c r="X30" i="2" s="1"/>
  <c r="V32" i="2"/>
  <c r="X32" i="2" s="1"/>
  <c r="Y32" i="2" s="1"/>
  <c r="V34" i="2"/>
  <c r="X34" i="2" s="1"/>
  <c r="V38" i="2"/>
  <c r="X38" i="2" s="1"/>
  <c r="V40" i="2"/>
  <c r="X40" i="2" s="1"/>
  <c r="Y40" i="2" s="1"/>
  <c r="V42" i="2"/>
  <c r="X42" i="2" s="1"/>
  <c r="Y42" i="2" s="1"/>
  <c r="V46" i="2"/>
  <c r="X46" i="2" s="1"/>
  <c r="V48" i="2"/>
  <c r="X48" i="2" s="1"/>
  <c r="Y48" i="2" s="1"/>
  <c r="V50" i="2"/>
  <c r="X50" i="2" s="1"/>
  <c r="V57" i="2"/>
  <c r="X57" i="2" s="1"/>
  <c r="Y57" i="2" s="1"/>
  <c r="V65" i="2"/>
  <c r="X65" i="2" s="1"/>
  <c r="V70" i="2"/>
  <c r="X70" i="2" s="1"/>
  <c r="Y70" i="2" s="1"/>
  <c r="V15" i="2"/>
  <c r="X15" i="2" s="1"/>
  <c r="Y15" i="2" s="1"/>
  <c r="V19" i="2"/>
  <c r="X19" i="2" s="1"/>
  <c r="Y19" i="2" s="1"/>
  <c r="V23" i="2"/>
  <c r="X23" i="2" s="1"/>
  <c r="Y23" i="2" s="1"/>
  <c r="H51" i="2"/>
  <c r="P51" i="2"/>
  <c r="H68" i="2"/>
  <c r="H74" i="2" s="1"/>
  <c r="P68" i="2"/>
  <c r="V55" i="2"/>
  <c r="X55" i="2" s="1"/>
  <c r="Y55" i="2" s="1"/>
  <c r="V59" i="2"/>
  <c r="X59" i="2" s="1"/>
  <c r="Y59" i="2" s="1"/>
  <c r="V63" i="2"/>
  <c r="X63" i="2" s="1"/>
  <c r="Y63" i="2" s="1"/>
  <c r="V67" i="2"/>
  <c r="X67" i="2" s="1"/>
  <c r="Y67" i="2" s="1"/>
  <c r="H72" i="2"/>
  <c r="P72" i="2"/>
  <c r="Y20" i="2"/>
  <c r="I24" i="2"/>
  <c r="I74" i="2" s="1"/>
  <c r="V44" i="2"/>
  <c r="X44" i="2" s="1"/>
  <c r="V13" i="2"/>
  <c r="X13" i="2" s="1"/>
  <c r="R24" i="2"/>
  <c r="J51" i="2"/>
  <c r="Y34" i="2"/>
  <c r="Y38" i="2"/>
  <c r="Y44" i="2"/>
  <c r="V53" i="2"/>
  <c r="X53" i="2" s="1"/>
  <c r="V61" i="2"/>
  <c r="X61" i="2" s="1"/>
  <c r="Y61" i="2" s="1"/>
  <c r="V14" i="2"/>
  <c r="X14" i="2" s="1"/>
  <c r="Y14" i="2" s="1"/>
  <c r="C24" i="2"/>
  <c r="K24" i="2"/>
  <c r="S24" i="2"/>
  <c r="V18" i="2"/>
  <c r="X18" i="2" s="1"/>
  <c r="Y18" i="2" s="1"/>
  <c r="V22" i="2"/>
  <c r="X22" i="2" s="1"/>
  <c r="C51" i="2"/>
  <c r="K51" i="2"/>
  <c r="S51" i="2"/>
  <c r="V33" i="2"/>
  <c r="X33" i="2" s="1"/>
  <c r="Y33" i="2" s="1"/>
  <c r="V41" i="2"/>
  <c r="X41" i="2" s="1"/>
  <c r="V49" i="2"/>
  <c r="X49" i="2" s="1"/>
  <c r="Y49" i="2" s="1"/>
  <c r="C68" i="2"/>
  <c r="K68" i="2"/>
  <c r="S68" i="2"/>
  <c r="V54" i="2"/>
  <c r="X54" i="2" s="1"/>
  <c r="V56" i="2"/>
  <c r="X56" i="2" s="1"/>
  <c r="Y56" i="2" s="1"/>
  <c r="V58" i="2"/>
  <c r="X58" i="2" s="1"/>
  <c r="Y58" i="2" s="1"/>
  <c r="V62" i="2"/>
  <c r="X62" i="2" s="1"/>
  <c r="V64" i="2"/>
  <c r="X64" i="2" s="1"/>
  <c r="Y64" i="2" s="1"/>
  <c r="V66" i="2"/>
  <c r="X66" i="2" s="1"/>
  <c r="Y66" i="2" s="1"/>
  <c r="Y22" i="2"/>
  <c r="V26" i="2"/>
  <c r="X26" i="2" s="1"/>
  <c r="Y26" i="2" s="1"/>
  <c r="Q24" i="2"/>
  <c r="Q74" i="2" s="1"/>
  <c r="V36" i="2"/>
  <c r="X36" i="2" s="1"/>
  <c r="V21" i="2"/>
  <c r="X21" i="2" s="1"/>
  <c r="R51" i="2"/>
  <c r="Y30" i="2"/>
  <c r="J68" i="2"/>
  <c r="Y65" i="2"/>
  <c r="P74" i="2"/>
  <c r="V27" i="2"/>
  <c r="X27" i="2" s="1"/>
  <c r="Y27" i="2" s="1"/>
  <c r="L51" i="2"/>
  <c r="T51" i="2"/>
  <c r="T74" i="2" s="1"/>
  <c r="V31" i="2"/>
  <c r="X31" i="2" s="1"/>
  <c r="Y31" i="2" s="1"/>
  <c r="V35" i="2"/>
  <c r="X35" i="2" s="1"/>
  <c r="Y35" i="2" s="1"/>
  <c r="V39" i="2"/>
  <c r="X39" i="2" s="1"/>
  <c r="Y39" i="2" s="1"/>
  <c r="V43" i="2"/>
  <c r="X43" i="2" s="1"/>
  <c r="Y43" i="2" s="1"/>
  <c r="V47" i="2"/>
  <c r="X47" i="2" s="1"/>
  <c r="Y47" i="2" s="1"/>
  <c r="V71" i="2"/>
  <c r="X71" i="2" s="1"/>
  <c r="Y71" i="2" s="1"/>
  <c r="Y54" i="2"/>
  <c r="Y62" i="2"/>
  <c r="V17" i="2"/>
  <c r="X17" i="2" s="1"/>
  <c r="Y17" i="2" s="1"/>
  <c r="V28" i="2"/>
  <c r="X28" i="2" s="1"/>
  <c r="Y28" i="2" s="1"/>
  <c r="J24" i="2"/>
  <c r="Y46" i="2"/>
  <c r="R68" i="2"/>
  <c r="L74" i="2"/>
  <c r="V12" i="2"/>
  <c r="X12" i="2" s="1"/>
  <c r="Y12" i="2" s="1"/>
  <c r="M24" i="2"/>
  <c r="U24" i="2"/>
  <c r="U74" i="2" s="1"/>
  <c r="V20" i="2"/>
  <c r="X20" i="2" s="1"/>
  <c r="E51" i="2"/>
  <c r="M51" i="2"/>
  <c r="U51" i="2"/>
  <c r="V52" i="2"/>
  <c r="M68" i="2"/>
  <c r="U68" i="2"/>
  <c r="V60" i="2"/>
  <c r="X60" i="2" s="1"/>
  <c r="Y60" i="2" s="1"/>
  <c r="Y29" i="2"/>
  <c r="Y37" i="2"/>
  <c r="Y45" i="2"/>
  <c r="Y21" i="2"/>
  <c r="Y13" i="2"/>
  <c r="Y53" i="2"/>
  <c r="X52" i="2"/>
  <c r="X68" i="2" s="1"/>
  <c r="W68" i="2"/>
  <c r="C72" i="2"/>
  <c r="W51" i="2"/>
  <c r="D51" i="2"/>
  <c r="D74" i="2" s="1"/>
  <c r="E68" i="2"/>
  <c r="V69" i="2"/>
  <c r="V25" i="2"/>
  <c r="V16" i="2"/>
  <c r="X16" i="2" s="1"/>
  <c r="Y16" i="2" s="1"/>
  <c r="E24" i="2"/>
  <c r="W24" i="2"/>
  <c r="V68" i="2" l="1"/>
  <c r="S74" i="2"/>
  <c r="J74" i="2"/>
  <c r="K74" i="2"/>
  <c r="M74" i="2"/>
  <c r="C74" i="2"/>
  <c r="R74" i="2"/>
  <c r="E74" i="2"/>
  <c r="Y68" i="2"/>
  <c r="W74" i="2"/>
  <c r="Y24" i="2"/>
  <c r="X25" i="2"/>
  <c r="V51" i="2"/>
  <c r="V72" i="2"/>
  <c r="X69" i="2"/>
  <c r="X24" i="2"/>
  <c r="V24" i="2"/>
  <c r="Y52" i="2"/>
  <c r="V74" i="2" l="1"/>
  <c r="X74" i="2" s="1"/>
  <c r="X51" i="2"/>
  <c r="Y51" i="2" s="1"/>
  <c r="Y25" i="2"/>
  <c r="Y74" i="2"/>
  <c r="X72" i="2"/>
  <c r="Y72" i="2" s="1"/>
  <c r="Y69" i="2"/>
  <c r="AB93" i="1" l="1"/>
  <c r="T92" i="1"/>
  <c r="S92" i="1"/>
  <c r="Q92" i="1"/>
  <c r="O92" i="1"/>
  <c r="J92" i="1"/>
  <c r="I92" i="1"/>
  <c r="G92" i="1"/>
  <c r="C92" i="1"/>
  <c r="U91" i="1"/>
  <c r="W90" i="1"/>
  <c r="X90" i="1" s="1"/>
  <c r="V90" i="1"/>
  <c r="U90" i="1"/>
  <c r="V89" i="1"/>
  <c r="X89" i="1" s="1"/>
  <c r="U89" i="1"/>
  <c r="W89" i="1" s="1"/>
  <c r="W88" i="1"/>
  <c r="X88" i="1" s="1"/>
  <c r="V88" i="1"/>
  <c r="U88" i="1"/>
  <c r="V87" i="1"/>
  <c r="U87" i="1"/>
  <c r="W87" i="1" s="1"/>
  <c r="W86" i="1"/>
  <c r="X86" i="1" s="1"/>
  <c r="V86" i="1"/>
  <c r="U86" i="1"/>
  <c r="V85" i="1"/>
  <c r="U85" i="1"/>
  <c r="W85" i="1" s="1"/>
  <c r="W84" i="1"/>
  <c r="X84" i="1" s="1"/>
  <c r="V84" i="1"/>
  <c r="U84" i="1"/>
  <c r="V83" i="1"/>
  <c r="U83" i="1"/>
  <c r="W83" i="1" s="1"/>
  <c r="W82" i="1"/>
  <c r="X82" i="1" s="1"/>
  <c r="V82" i="1"/>
  <c r="U82" i="1"/>
  <c r="V81" i="1"/>
  <c r="O81" i="1"/>
  <c r="U81" i="1" s="1"/>
  <c r="W81" i="1" s="1"/>
  <c r="V80" i="1"/>
  <c r="N80" i="1"/>
  <c r="U80" i="1" s="1"/>
  <c r="W80" i="1" s="1"/>
  <c r="X80" i="1" s="1"/>
  <c r="V79" i="1"/>
  <c r="X79" i="1" s="1"/>
  <c r="U79" i="1"/>
  <c r="W79" i="1" s="1"/>
  <c r="X78" i="1"/>
  <c r="W78" i="1"/>
  <c r="V78" i="1"/>
  <c r="U78" i="1"/>
  <c r="V77" i="1"/>
  <c r="U77" i="1"/>
  <c r="W77" i="1" s="1"/>
  <c r="V76" i="1"/>
  <c r="W76" i="1" s="1"/>
  <c r="X76" i="1" s="1"/>
  <c r="U76" i="1"/>
  <c r="V75" i="1"/>
  <c r="U75" i="1"/>
  <c r="W75" i="1" s="1"/>
  <c r="P75" i="1"/>
  <c r="V74" i="1"/>
  <c r="P74" i="1"/>
  <c r="U74" i="1" s="1"/>
  <c r="W74" i="1" s="1"/>
  <c r="X74" i="1" s="1"/>
  <c r="W73" i="1"/>
  <c r="X73" i="1" s="1"/>
  <c r="V73" i="1"/>
  <c r="U73" i="1"/>
  <c r="V72" i="1"/>
  <c r="U72" i="1"/>
  <c r="W72" i="1" s="1"/>
  <c r="W71" i="1"/>
  <c r="X71" i="1" s="1"/>
  <c r="V71" i="1"/>
  <c r="U71" i="1"/>
  <c r="V70" i="1"/>
  <c r="O70" i="1"/>
  <c r="U70" i="1" s="1"/>
  <c r="W70" i="1" s="1"/>
  <c r="X69" i="1"/>
  <c r="W69" i="1"/>
  <c r="V69" i="1"/>
  <c r="U69" i="1"/>
  <c r="V68" i="1"/>
  <c r="U68" i="1"/>
  <c r="W68" i="1" s="1"/>
  <c r="X67" i="1"/>
  <c r="W67" i="1"/>
  <c r="V67" i="1"/>
  <c r="U67" i="1"/>
  <c r="V66" i="1"/>
  <c r="U66" i="1"/>
  <c r="W66" i="1" s="1"/>
  <c r="X65" i="1"/>
  <c r="W65" i="1"/>
  <c r="V65" i="1"/>
  <c r="U65" i="1"/>
  <c r="V64" i="1"/>
  <c r="U64" i="1"/>
  <c r="W64" i="1" s="1"/>
  <c r="X63" i="1"/>
  <c r="W63" i="1"/>
  <c r="V63" i="1"/>
  <c r="U63" i="1"/>
  <c r="V62" i="1"/>
  <c r="U62" i="1"/>
  <c r="W62" i="1" s="1"/>
  <c r="X61" i="1"/>
  <c r="W61" i="1"/>
  <c r="V61" i="1"/>
  <c r="U61" i="1"/>
  <c r="V60" i="1"/>
  <c r="L60" i="1"/>
  <c r="U60" i="1" s="1"/>
  <c r="W60" i="1" s="1"/>
  <c r="X59" i="1"/>
  <c r="W59" i="1"/>
  <c r="V59" i="1"/>
  <c r="U59" i="1"/>
  <c r="V58" i="1"/>
  <c r="U58" i="1"/>
  <c r="W58" i="1" s="1"/>
  <c r="O58" i="1"/>
  <c r="V57" i="1"/>
  <c r="U57" i="1"/>
  <c r="W57" i="1" s="1"/>
  <c r="X57" i="1" s="1"/>
  <c r="V56" i="1"/>
  <c r="U56" i="1"/>
  <c r="V55" i="1"/>
  <c r="U55" i="1"/>
  <c r="W55" i="1" s="1"/>
  <c r="X55" i="1" s="1"/>
  <c r="V54" i="1"/>
  <c r="U54" i="1"/>
  <c r="V53" i="1"/>
  <c r="U53" i="1"/>
  <c r="W53" i="1" s="1"/>
  <c r="X53" i="1" s="1"/>
  <c r="V52" i="1"/>
  <c r="U52" i="1"/>
  <c r="X51" i="1"/>
  <c r="U51" i="1"/>
  <c r="W51" i="1" s="1"/>
  <c r="V50" i="1"/>
  <c r="U50" i="1"/>
  <c r="W50" i="1" s="1"/>
  <c r="V49" i="1"/>
  <c r="K49" i="1"/>
  <c r="U49" i="1" s="1"/>
  <c r="W49" i="1" s="1"/>
  <c r="X49" i="1" s="1"/>
  <c r="V48" i="1"/>
  <c r="U48" i="1"/>
  <c r="K48" i="1"/>
  <c r="V47" i="1"/>
  <c r="U47" i="1"/>
  <c r="W47" i="1" s="1"/>
  <c r="W46" i="1"/>
  <c r="X46" i="1" s="1"/>
  <c r="V46" i="1"/>
  <c r="U46" i="1"/>
  <c r="V45" i="1"/>
  <c r="X45" i="1" s="1"/>
  <c r="O45" i="1"/>
  <c r="U45" i="1" s="1"/>
  <c r="W45" i="1" s="1"/>
  <c r="X44" i="1"/>
  <c r="W44" i="1"/>
  <c r="V44" i="1"/>
  <c r="U44" i="1"/>
  <c r="V43" i="1"/>
  <c r="U43" i="1"/>
  <c r="W43" i="1" s="1"/>
  <c r="X42" i="1"/>
  <c r="W42" i="1"/>
  <c r="V42" i="1"/>
  <c r="U42" i="1"/>
  <c r="V41" i="1"/>
  <c r="X41" i="1" s="1"/>
  <c r="U41" i="1"/>
  <c r="W41" i="1" s="1"/>
  <c r="X40" i="1"/>
  <c r="W40" i="1"/>
  <c r="V40" i="1"/>
  <c r="U40" i="1"/>
  <c r="V39" i="1"/>
  <c r="U39" i="1"/>
  <c r="W39" i="1" s="1"/>
  <c r="X38" i="1"/>
  <c r="W38" i="1"/>
  <c r="V38" i="1"/>
  <c r="U38" i="1"/>
  <c r="V37" i="1"/>
  <c r="X37" i="1" s="1"/>
  <c r="U37" i="1"/>
  <c r="W37" i="1" s="1"/>
  <c r="X36" i="1"/>
  <c r="W36" i="1"/>
  <c r="V36" i="1"/>
  <c r="U36" i="1"/>
  <c r="V35" i="1"/>
  <c r="U35" i="1"/>
  <c r="W35" i="1" s="1"/>
  <c r="X34" i="1"/>
  <c r="W34" i="1"/>
  <c r="V34" i="1"/>
  <c r="U34" i="1"/>
  <c r="V33" i="1"/>
  <c r="U33" i="1"/>
  <c r="W33" i="1" s="1"/>
  <c r="X32" i="1"/>
  <c r="W32" i="1"/>
  <c r="V32" i="1"/>
  <c r="U32" i="1"/>
  <c r="V31" i="1"/>
  <c r="U31" i="1"/>
  <c r="W31" i="1" s="1"/>
  <c r="X30" i="1"/>
  <c r="W30" i="1"/>
  <c r="V30" i="1"/>
  <c r="U30" i="1"/>
  <c r="V29" i="1"/>
  <c r="X29" i="1" s="1"/>
  <c r="U29" i="1"/>
  <c r="W29" i="1" s="1"/>
  <c r="X28" i="1"/>
  <c r="W28" i="1"/>
  <c r="V28" i="1"/>
  <c r="U28" i="1"/>
  <c r="V27" i="1"/>
  <c r="H27" i="1"/>
  <c r="H92" i="1" s="1"/>
  <c r="V26" i="1"/>
  <c r="I26" i="1"/>
  <c r="U26" i="1" s="1"/>
  <c r="W26" i="1" s="1"/>
  <c r="X26" i="1" s="1"/>
  <c r="V25" i="1"/>
  <c r="U25" i="1"/>
  <c r="R25" i="1"/>
  <c r="O25" i="1"/>
  <c r="F25" i="1"/>
  <c r="V24" i="1"/>
  <c r="U24" i="1"/>
  <c r="W24" i="1" s="1"/>
  <c r="X23" i="1"/>
  <c r="W23" i="1"/>
  <c r="V23" i="1"/>
  <c r="U23" i="1"/>
  <c r="V22" i="1"/>
  <c r="U22" i="1"/>
  <c r="W22" i="1" s="1"/>
  <c r="X21" i="1"/>
  <c r="W21" i="1"/>
  <c r="V21" i="1"/>
  <c r="U21" i="1"/>
  <c r="V20" i="1"/>
  <c r="U20" i="1"/>
  <c r="W20" i="1" s="1"/>
  <c r="X19" i="1"/>
  <c r="W19" i="1"/>
  <c r="V19" i="1"/>
  <c r="U19" i="1"/>
  <c r="V18" i="1"/>
  <c r="U18" i="1"/>
  <c r="W18" i="1" s="1"/>
  <c r="V17" i="1"/>
  <c r="R17" i="1"/>
  <c r="P17" i="1"/>
  <c r="O17" i="1"/>
  <c r="N17" i="1"/>
  <c r="M17" i="1"/>
  <c r="K17" i="1"/>
  <c r="I17" i="1"/>
  <c r="H17" i="1"/>
  <c r="G17" i="1"/>
  <c r="F17" i="1"/>
  <c r="E17" i="1"/>
  <c r="D17" i="1"/>
  <c r="B17" i="1"/>
  <c r="U17" i="1" s="1"/>
  <c r="W17" i="1" s="1"/>
  <c r="X17" i="1" s="1"/>
  <c r="V16" i="1"/>
  <c r="L16" i="1"/>
  <c r="U16" i="1" s="1"/>
  <c r="W16" i="1" s="1"/>
  <c r="X16" i="1" s="1"/>
  <c r="W15" i="1"/>
  <c r="X15" i="1" s="1"/>
  <c r="V15" i="1"/>
  <c r="U15" i="1"/>
  <c r="V14" i="1"/>
  <c r="U14" i="1"/>
  <c r="W14" i="1" s="1"/>
  <c r="W13" i="1"/>
  <c r="X13" i="1" s="1"/>
  <c r="V13" i="1"/>
  <c r="U13" i="1"/>
  <c r="V12" i="1"/>
  <c r="V92" i="1" s="1"/>
  <c r="R12" i="1"/>
  <c r="R92" i="1" s="1"/>
  <c r="P12" i="1"/>
  <c r="P92" i="1" s="1"/>
  <c r="O12" i="1"/>
  <c r="N12" i="1"/>
  <c r="N92" i="1" s="1"/>
  <c r="M12" i="1"/>
  <c r="M92" i="1" s="1"/>
  <c r="K12" i="1"/>
  <c r="K92" i="1" s="1"/>
  <c r="I12" i="1"/>
  <c r="H12" i="1"/>
  <c r="G12" i="1"/>
  <c r="F12" i="1"/>
  <c r="F92" i="1" s="1"/>
  <c r="E12" i="1"/>
  <c r="E92" i="1" s="1"/>
  <c r="D12" i="1"/>
  <c r="D92" i="1" s="1"/>
  <c r="B12" i="1"/>
  <c r="B92" i="1" s="1"/>
  <c r="X62" i="1" l="1"/>
  <c r="X70" i="1"/>
  <c r="X83" i="1"/>
  <c r="X14" i="1"/>
  <c r="X27" i="1"/>
  <c r="X35" i="1"/>
  <c r="X43" i="1"/>
  <c r="X77" i="1"/>
  <c r="X22" i="1"/>
  <c r="X60" i="1"/>
  <c r="X68" i="1"/>
  <c r="X87" i="1"/>
  <c r="X33" i="1"/>
  <c r="X50" i="1"/>
  <c r="X81" i="1"/>
  <c r="X20" i="1"/>
  <c r="X47" i="1"/>
  <c r="X58" i="1"/>
  <c r="X66" i="1"/>
  <c r="AB94" i="1"/>
  <c r="X31" i="1"/>
  <c r="X39" i="1"/>
  <c r="X72" i="1"/>
  <c r="X75" i="1"/>
  <c r="X85" i="1"/>
  <c r="X18" i="1"/>
  <c r="X64" i="1"/>
  <c r="X24" i="1"/>
  <c r="U27" i="1"/>
  <c r="W27" i="1" s="1"/>
  <c r="W54" i="1"/>
  <c r="X54" i="1" s="1"/>
  <c r="W25" i="1"/>
  <c r="X25" i="1" s="1"/>
  <c r="W48" i="1"/>
  <c r="X48" i="1" s="1"/>
  <c r="U12" i="1"/>
  <c r="L92" i="1"/>
  <c r="W52" i="1"/>
  <c r="X52" i="1" s="1"/>
  <c r="W56" i="1"/>
  <c r="X56" i="1" s="1"/>
  <c r="U92" i="1" l="1"/>
  <c r="W92" i="1" s="1"/>
  <c r="X92" i="1" s="1"/>
  <c r="W12" i="1"/>
  <c r="X12" i="1" s="1"/>
</calcChain>
</file>

<file path=xl/sharedStrings.xml><?xml version="1.0" encoding="utf-8"?>
<sst xmlns="http://schemas.openxmlformats.org/spreadsheetml/2006/main" count="453" uniqueCount="110">
  <si>
    <t>Account</t>
  </si>
  <si>
    <t>Administration</t>
  </si>
  <si>
    <t>Board</t>
  </si>
  <si>
    <t>Cash and Debt Management</t>
  </si>
  <si>
    <t>Finance</t>
  </si>
  <si>
    <t>Financial Planning &amp; Analysis</t>
  </si>
  <si>
    <t>Human Resources</t>
  </si>
  <si>
    <t>Internal Audit</t>
  </si>
  <si>
    <t>Legal Services</t>
  </si>
  <si>
    <t>Procurement and Business Diversity</t>
  </si>
  <si>
    <t>Public Affairs</t>
  </si>
  <si>
    <t>Shared Services</t>
  </si>
  <si>
    <t>Strategy and Innovation</t>
  </si>
  <si>
    <t>Collections and Toll Enforcement</t>
  </si>
  <si>
    <t>Customer Service Contact Center</t>
  </si>
  <si>
    <t>Information Technology</t>
  </si>
  <si>
    <t>Maintenance</t>
  </si>
  <si>
    <t>Operations</t>
  </si>
  <si>
    <t>Project Delivery</t>
  </si>
  <si>
    <t>System &amp; Incident Mgmt.</t>
  </si>
  <si>
    <t>FY16
Budget</t>
  </si>
  <si>
    <t>FY15
Budget</t>
  </si>
  <si>
    <t>Increase or
(Decrease)
Amount</t>
  </si>
  <si>
    <t>Increase or
(Decrease)
Percent</t>
  </si>
  <si>
    <t>Salaries and Wages-Direct - (511101)</t>
  </si>
  <si>
    <t>Salaries and Wages-Comp Adj. - (511103)</t>
  </si>
  <si>
    <t>Salaries and Wages-Internship - (511202)</t>
  </si>
  <si>
    <t>Salaries and Wage-Overtime - (511301)</t>
  </si>
  <si>
    <t>Group Insurance - (512101)</t>
  </si>
  <si>
    <t>Retirement Contributions - (512401)</t>
  </si>
  <si>
    <t>Retirement Contr.-Internship - (512402)</t>
  </si>
  <si>
    <t>Retirement Contr.-Comp. Adj. - (512403)</t>
  </si>
  <si>
    <t>Tuition Reimbursement - (512501)</t>
  </si>
  <si>
    <t>Unemployment Insurance - (512601)</t>
  </si>
  <si>
    <t>OPEB Annual Req'd Contribution - (512602)</t>
  </si>
  <si>
    <t>Worker's Comp Ins - (512701)</t>
  </si>
  <si>
    <t>Meeting Expense - (521101)</t>
  </si>
  <si>
    <t>Consulting/Professional - (521201)</t>
  </si>
  <si>
    <t>Legal Fees - (521202)</t>
  </si>
  <si>
    <t>Auditing Fees - (521203)</t>
  </si>
  <si>
    <t>Trustee Fees - (521204)</t>
  </si>
  <si>
    <t>Rating Agency Fees - (521205)</t>
  </si>
  <si>
    <t>Remarketing/Loc Provider Fees - (521206)</t>
  </si>
  <si>
    <t>Traffic Engineering Fees - (521207)</t>
  </si>
  <si>
    <t>Police Services (DPS) - (521208)</t>
  </si>
  <si>
    <t>Armored Car Services - (521209)</t>
  </si>
  <si>
    <t>Outside Maintenance Services - (521212)</t>
  </si>
  <si>
    <t>General Engineering - (521213)</t>
  </si>
  <si>
    <t>Consulting/Profess Serv Tech - (521301)</t>
  </si>
  <si>
    <t>Landscaping - (522202)</t>
  </si>
  <si>
    <t>Signing Expense - (522203)</t>
  </si>
  <si>
    <t>Pavement Markings - (522204)</t>
  </si>
  <si>
    <t>Pavement &amp; Shoulders - (522205)</t>
  </si>
  <si>
    <t>Bridge Repairs - (522206)</t>
  </si>
  <si>
    <t>Rentals - Land - (522301)</t>
  </si>
  <si>
    <t>Rentals - Equipment - (522302)</t>
  </si>
  <si>
    <t>Insurance Expense - Other - (523101)</t>
  </si>
  <si>
    <t>Postage - (523201)</t>
  </si>
  <si>
    <t>Telecommunications - (523202)</t>
  </si>
  <si>
    <t>Recruitment - (523301)</t>
  </si>
  <si>
    <t>Public Information Fees - (523203)</t>
  </si>
  <si>
    <t>Magazine and Newspaper - (523302)</t>
  </si>
  <si>
    <t>Television &amp; Radio - (523303)</t>
  </si>
  <si>
    <t>Promotional Expenses - (523304)</t>
  </si>
  <si>
    <t>Employee Appreciation - (523305)</t>
  </si>
  <si>
    <t>Printing and Photographic - (523401)</t>
  </si>
  <si>
    <t>Maps &amp; Pamphlets - (523402)</t>
  </si>
  <si>
    <t>Travel - (523501)</t>
  </si>
  <si>
    <t>Dues &amp; Subscriptions - (523601)</t>
  </si>
  <si>
    <t>Education and Training - (523701)</t>
  </si>
  <si>
    <t>Licenses - (523801)</t>
  </si>
  <si>
    <t>Temporary Contract Labor - (523851)</t>
  </si>
  <si>
    <t>Liability Claims - (523902)</t>
  </si>
  <si>
    <t>Office Supplies - (531101)</t>
  </si>
  <si>
    <t>Other Materials and Supplies - (531102)</t>
  </si>
  <si>
    <t>Mobile Equipment Expense - (531103)</t>
  </si>
  <si>
    <t>Freight and Express - (531105)</t>
  </si>
  <si>
    <t>Electronic Supplies - (531106)</t>
  </si>
  <si>
    <t>Motor Fuel Expense - (531107)</t>
  </si>
  <si>
    <t>Water - (531211)</t>
  </si>
  <si>
    <t>Gas - (531221)</t>
  </si>
  <si>
    <t>Electricity - (531231)</t>
  </si>
  <si>
    <t>Books &amp; Periodicals - (531401)</t>
  </si>
  <si>
    <t>Inven for resale(toll tags) - (531501)</t>
  </si>
  <si>
    <t>Small Tools and Shop Supplies - (531601)</t>
  </si>
  <si>
    <t>Machinery - (531611)</t>
  </si>
  <si>
    <t>Vehicles - (531621)</t>
  </si>
  <si>
    <t>Computers - (531641)</t>
  </si>
  <si>
    <t>Software - (531651)</t>
  </si>
  <si>
    <t>Uniforms - (531701)</t>
  </si>
  <si>
    <t>Building Improvements - (541302)</t>
  </si>
  <si>
    <t>Infrastructure Rdway/Hwy/Bridg - (541401)</t>
  </si>
  <si>
    <t>Infrastructure - Other - (541403)</t>
  </si>
  <si>
    <t>Bank Charges - (573001)</t>
  </si>
  <si>
    <t>Credit Card Fees - (573002)</t>
  </si>
  <si>
    <t>Deferred Charges (153001)</t>
  </si>
  <si>
    <t>Contingency-Restricted - (579002)</t>
  </si>
  <si>
    <t>Right-of-Way (06)</t>
  </si>
  <si>
    <t>Administration (01)</t>
  </si>
  <si>
    <t>Planning (02)</t>
  </si>
  <si>
    <t>Design (03)</t>
  </si>
  <si>
    <t>Construction (04)</t>
  </si>
  <si>
    <t>Software (05)</t>
  </si>
  <si>
    <t>Equipment/Hardware (05)</t>
  </si>
  <si>
    <t>Other (176999)</t>
  </si>
  <si>
    <t>Totals</t>
  </si>
  <si>
    <t>Salaries &amp; Benefits</t>
  </si>
  <si>
    <t>Services</t>
  </si>
  <si>
    <t>Materials &amp; Supplies</t>
  </si>
  <si>
    <t>Equipment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</si>
</sst>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#,##0;&quot;-&quot;#,##0"/>
    <numFmt numFmtId="166" formatCode="#,##0;&quot;(&quot;#,##0&quot;)&quot;"/>
    <numFmt numFmtId="167" formatCode="&quot;$&quot;#,##0;&quot;($&quot;#,##0&quot;)&quot;"/>
    <numFmt numFmtId="168" formatCode="0.0%_);[Red]\ \ \(0.0%\)"/>
    <numFmt numFmtId="169" formatCode="0.0%"/>
    <numFmt numFmtId="170" formatCode="&quot;Account&quot;"/>
    <numFmt numFmtId="171" formatCode="#,##0.0&quot;%&quot;;&quot;(&quot;#,##0.0&quot;%)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rgb="FF000000"/>
      <name val="Cambria"/>
      <family val="1"/>
    </font>
    <font>
      <sz val="10"/>
      <color rgb="FFFF0000"/>
      <name val="Cambria"/>
      <family val="1"/>
    </font>
    <font>
      <b/>
      <sz val="9"/>
      <color rgb="FF000000"/>
      <name val="Microsoft Sans Serif"/>
      <family val="2"/>
    </font>
    <font>
      <b/>
      <sz val="8"/>
      <name val="Microsoft Sans Serif"/>
      <family val="2"/>
    </font>
    <font>
      <sz val="8"/>
      <name val="Calibri"/>
      <family val="2"/>
      <scheme val="minor"/>
    </font>
    <font>
      <sz val="8"/>
      <color rgb="FF000000"/>
      <name val="Microsoft Sans Serif"/>
      <family val="2"/>
    </font>
    <font>
      <sz val="8"/>
      <color rgb="FFFF0000"/>
      <name val="Microsoft Sans Serif"/>
      <family val="2"/>
    </font>
    <font>
      <b/>
      <sz val="8"/>
      <color rgb="FF000000"/>
      <name val="Microsoft Sans Serif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FFFFFF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0" xfId="0" applyFont="1" applyFill="1" applyAlignment="1">
      <alignment vertical="top" wrapText="1"/>
    </xf>
    <xf numFmtId="0" fontId="4" fillId="0" borderId="0" xfId="0" applyFont="1" applyFill="1"/>
    <xf numFmtId="0" fontId="4" fillId="3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164" fontId="4" fillId="2" borderId="0" xfId="0" applyNumberFormat="1" applyFont="1" applyFill="1" applyAlignment="1"/>
    <xf numFmtId="0" fontId="4" fillId="0" borderId="0" xfId="0" applyFont="1" applyFill="1" applyAlignment="1"/>
    <xf numFmtId="164" fontId="4" fillId="2" borderId="0" xfId="1" applyNumberFormat="1" applyFont="1" applyFill="1" applyAlignment="1"/>
    <xf numFmtId="165" fontId="5" fillId="0" borderId="0" xfId="0" quotePrefix="1" applyNumberFormat="1" applyFont="1" applyFill="1" applyBorder="1" applyAlignment="1">
      <alignment horizontal="left" wrapText="1"/>
    </xf>
    <xf numFmtId="165" fontId="5" fillId="0" borderId="0" xfId="0" quotePrefix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165" fontId="7" fillId="2" borderId="1" xfId="0" applyNumberFormat="1" applyFont="1" applyFill="1" applyBorder="1" applyAlignment="1">
      <alignment horizontal="left"/>
    </xf>
    <xf numFmtId="166" fontId="7" fillId="2" borderId="1" xfId="0" applyNumberFormat="1" applyFont="1" applyFill="1" applyBorder="1" applyAlignment="1">
      <alignment horizontal="right"/>
    </xf>
    <xf numFmtId="165" fontId="7" fillId="2" borderId="0" xfId="0" quotePrefix="1" applyNumberFormat="1" applyFont="1" applyFill="1" applyAlignment="1">
      <alignment horizontal="left"/>
    </xf>
    <xf numFmtId="167" fontId="7" fillId="2" borderId="0" xfId="0" applyNumberFormat="1" applyFont="1" applyFill="1" applyAlignment="1">
      <alignment horizontal="right"/>
    </xf>
    <xf numFmtId="167" fontId="8" fillId="2" borderId="0" xfId="0" applyNumberFormat="1" applyFont="1" applyFill="1" applyAlignment="1">
      <alignment horizontal="right"/>
    </xf>
    <xf numFmtId="168" fontId="7" fillId="2" borderId="0" xfId="0" applyNumberFormat="1" applyFont="1" applyFill="1" applyAlignment="1">
      <alignment horizontal="right"/>
    </xf>
    <xf numFmtId="6" fontId="4" fillId="3" borderId="0" xfId="0" applyNumberFormat="1" applyFont="1" applyFill="1"/>
    <xf numFmtId="166" fontId="7" fillId="2" borderId="0" xfId="0" applyNumberFormat="1" applyFont="1" applyFill="1" applyAlignment="1">
      <alignment horizontal="right"/>
    </xf>
    <xf numFmtId="38" fontId="4" fillId="0" borderId="0" xfId="1" applyNumberFormat="1" applyFont="1" applyFill="1" applyAlignment="1">
      <alignment horizontal="right"/>
    </xf>
    <xf numFmtId="166" fontId="8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right" vertical="center"/>
    </xf>
    <xf numFmtId="167" fontId="3" fillId="2" borderId="2" xfId="0" quotePrefix="1" applyNumberFormat="1" applyFont="1" applyFill="1" applyBorder="1" applyAlignment="1">
      <alignment horizontal="left" vertical="center"/>
    </xf>
    <xf numFmtId="167" fontId="3" fillId="2" borderId="2" xfId="0" applyNumberFormat="1" applyFont="1" applyFill="1" applyBorder="1" applyAlignment="1">
      <alignment horizontal="right" vertical="center"/>
    </xf>
    <xf numFmtId="169" fontId="3" fillId="2" borderId="2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wrapText="1"/>
    </xf>
    <xf numFmtId="0" fontId="4" fillId="2" borderId="0" xfId="0" applyFont="1" applyFill="1"/>
    <xf numFmtId="0" fontId="4" fillId="4" borderId="0" xfId="0" applyFont="1" applyFill="1"/>
    <xf numFmtId="167" fontId="4" fillId="4" borderId="0" xfId="0" applyNumberFormat="1" applyFont="1" applyFill="1"/>
    <xf numFmtId="6" fontId="4" fillId="4" borderId="0" xfId="0" applyNumberFormat="1" applyFont="1" applyFill="1"/>
    <xf numFmtId="0" fontId="9" fillId="2" borderId="0" xfId="0" applyFont="1" applyFill="1" applyAlignment="1">
      <alignment vertical="top" wrapText="1"/>
    </xf>
    <xf numFmtId="0" fontId="0" fillId="3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170" fontId="10" fillId="0" borderId="0" xfId="0" quotePrefix="1" applyNumberFormat="1" applyFont="1" applyFill="1" applyBorder="1" applyAlignment="1">
      <alignment horizontal="left"/>
    </xf>
    <xf numFmtId="165" fontId="10" fillId="0" borderId="0" xfId="0" quotePrefix="1" applyNumberFormat="1" applyFont="1" applyFill="1" applyBorder="1" applyAlignment="1">
      <alignment horizontal="center"/>
    </xf>
    <xf numFmtId="165" fontId="10" fillId="0" borderId="0" xfId="0" quotePrefix="1" applyNumberFormat="1" applyFont="1" applyFill="1" applyBorder="1" applyAlignment="1">
      <alignment horizontal="center" wrapText="1"/>
    </xf>
    <xf numFmtId="165" fontId="10" fillId="0" borderId="0" xfId="0" quotePrefix="1" applyNumberFormat="1" applyFont="1" applyFill="1" applyBorder="1" applyAlignment="1">
      <alignment horizontal="right" wrapText="1"/>
    </xf>
    <xf numFmtId="165" fontId="10" fillId="0" borderId="0" xfId="0" quotePrefix="1" applyNumberFormat="1" applyFont="1" applyFill="1" applyBorder="1" applyAlignment="1">
      <alignment horizontal="right" vertical="top" wrapText="1"/>
    </xf>
    <xf numFmtId="0" fontId="11" fillId="0" borderId="0" xfId="0" applyFont="1" applyFill="1" applyBorder="1"/>
    <xf numFmtId="165" fontId="12" fillId="2" borderId="1" xfId="0" applyNumberFormat="1" applyFont="1" applyFill="1" applyBorder="1" applyAlignment="1">
      <alignment horizontal="left"/>
    </xf>
    <xf numFmtId="166" fontId="12" fillId="2" borderId="1" xfId="0" applyNumberFormat="1" applyFont="1" applyFill="1" applyBorder="1" applyAlignment="1">
      <alignment horizontal="right"/>
    </xf>
    <xf numFmtId="165" fontId="12" fillId="2" borderId="0" xfId="0" quotePrefix="1" applyNumberFormat="1" applyFont="1" applyFill="1" applyAlignment="1">
      <alignment horizontal="left"/>
    </xf>
    <xf numFmtId="167" fontId="12" fillId="2" borderId="0" xfId="0" applyNumberFormat="1" applyFont="1" applyFill="1" applyAlignment="1">
      <alignment horizontal="right"/>
    </xf>
    <xf numFmtId="167" fontId="13" fillId="2" borderId="0" xfId="0" applyNumberFormat="1" applyFont="1" applyFill="1" applyAlignment="1">
      <alignment horizontal="right"/>
    </xf>
    <xf numFmtId="6" fontId="12" fillId="2" borderId="0" xfId="0" applyNumberFormat="1" applyFont="1" applyFill="1" applyAlignment="1">
      <alignment horizontal="right"/>
    </xf>
    <xf numFmtId="168" fontId="12" fillId="2" borderId="0" xfId="0" applyNumberFormat="1" applyFont="1" applyFill="1" applyAlignment="1">
      <alignment horizontal="right"/>
    </xf>
    <xf numFmtId="166" fontId="12" fillId="2" borderId="0" xfId="0" applyNumberFormat="1" applyFont="1" applyFill="1" applyAlignment="1">
      <alignment horizontal="right"/>
    </xf>
    <xf numFmtId="38" fontId="12" fillId="2" borderId="0" xfId="0" applyNumberFormat="1" applyFont="1" applyFill="1" applyAlignment="1">
      <alignment horizontal="right"/>
    </xf>
    <xf numFmtId="165" fontId="14" fillId="5" borderId="0" xfId="0" quotePrefix="1" applyNumberFormat="1" applyFont="1" applyFill="1" applyAlignment="1">
      <alignment horizontal="left"/>
    </xf>
    <xf numFmtId="166" fontId="14" fillId="5" borderId="0" xfId="0" applyNumberFormat="1" applyFont="1" applyFill="1" applyAlignment="1">
      <alignment horizontal="right"/>
    </xf>
    <xf numFmtId="168" fontId="14" fillId="5" borderId="0" xfId="0" applyNumberFormat="1" applyFont="1" applyFill="1" applyAlignment="1">
      <alignment horizontal="right"/>
    </xf>
    <xf numFmtId="0" fontId="2" fillId="5" borderId="0" xfId="0" applyFont="1" applyFill="1"/>
    <xf numFmtId="0" fontId="0" fillId="5" borderId="0" xfId="0" applyFill="1"/>
    <xf numFmtId="165" fontId="14" fillId="2" borderId="0" xfId="0" applyNumberFormat="1" applyFont="1" applyFill="1" applyAlignment="1">
      <alignment horizontal="left" vertical="center"/>
    </xf>
    <xf numFmtId="165" fontId="14" fillId="2" borderId="0" xfId="0" applyNumberFormat="1" applyFont="1" applyFill="1" applyAlignment="1">
      <alignment horizontal="right" vertical="center"/>
    </xf>
    <xf numFmtId="171" fontId="14" fillId="2" borderId="3" xfId="0" applyNumberFormat="1" applyFont="1" applyFill="1" applyBorder="1" applyAlignment="1">
      <alignment horizontal="right" vertical="center"/>
    </xf>
    <xf numFmtId="167" fontId="14" fillId="2" borderId="2" xfId="0" quotePrefix="1" applyNumberFormat="1" applyFont="1" applyFill="1" applyBorder="1" applyAlignment="1">
      <alignment horizontal="left" vertical="center"/>
    </xf>
    <xf numFmtId="167" fontId="14" fillId="2" borderId="2" xfId="0" applyNumberFormat="1" applyFont="1" applyFill="1" applyBorder="1" applyAlignment="1">
      <alignment horizontal="right" vertical="center"/>
    </xf>
    <xf numFmtId="168" fontId="14" fillId="2" borderId="4" xfId="0" applyNumberFormat="1" applyFont="1" applyFill="1" applyBorder="1" applyAlignment="1">
      <alignment horizontal="right"/>
    </xf>
    <xf numFmtId="0" fontId="15" fillId="0" borderId="0" xfId="0" applyFont="1" applyFill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16" fillId="3" borderId="0" xfId="0" applyFont="1" applyFill="1"/>
    <xf numFmtId="170" fontId="17" fillId="6" borderId="0" xfId="0" quotePrefix="1" applyNumberFormat="1" applyFont="1" applyFill="1" applyAlignment="1">
      <alignment horizontal="left"/>
    </xf>
    <xf numFmtId="165" fontId="17" fillId="6" borderId="0" xfId="0" quotePrefix="1" applyNumberFormat="1" applyFont="1" applyFill="1" applyAlignment="1">
      <alignment horizontal="center"/>
    </xf>
    <xf numFmtId="165" fontId="17" fillId="6" borderId="0" xfId="0" quotePrefix="1" applyNumberFormat="1" applyFont="1" applyFill="1" applyAlignment="1">
      <alignment horizontal="right" wrapText="1"/>
    </xf>
    <xf numFmtId="165" fontId="17" fillId="6" borderId="0" xfId="0" quotePrefix="1" applyNumberFormat="1" applyFont="1" applyFill="1" applyAlignment="1">
      <alignment horizontal="right" vertical="top" wrapText="1"/>
    </xf>
    <xf numFmtId="171" fontId="12" fillId="2" borderId="0" xfId="0" applyNumberFormat="1" applyFont="1" applyFill="1" applyAlignment="1">
      <alignment horizontal="right"/>
    </xf>
    <xf numFmtId="171" fontId="14" fillId="2" borderId="0" xfId="0" applyNumberFormat="1" applyFont="1" applyFill="1" applyAlignment="1">
      <alignment horizontal="right" vertical="center"/>
    </xf>
    <xf numFmtId="171" fontId="14" fillId="2" borderId="2" xfId="0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1021373</xdr:colOff>
      <xdr:row>1</xdr:row>
      <xdr:rowOff>66675</xdr:rowOff>
    </xdr:from>
    <xdr:ext cx="2900729" cy="506742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230923" y="257175"/>
          <a:ext cx="2900729" cy="50674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Operation and Maintenance Fund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FY2016</a:t>
          </a:r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3" name="Picture 6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582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0</xdr:row>
          <xdr:rowOff>0</xdr:rowOff>
        </xdr:from>
        <xdr:to>
          <xdr:col>0</xdr:col>
          <xdr:colOff>1533525</xdr:colOff>
          <xdr:row>1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1238250</xdr:colOff>
          <xdr:row>0</xdr:row>
          <xdr:rowOff>0</xdr:rowOff>
        </xdr:from>
        <xdr:to>
          <xdr:col>0</xdr:col>
          <xdr:colOff>2152650</xdr:colOff>
          <xdr:row>1</xdr:row>
          <xdr:rowOff>66675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781050</xdr:colOff>
      <xdr:row>1</xdr:row>
      <xdr:rowOff>66675</xdr:rowOff>
    </xdr:from>
    <xdr:ext cx="1981200" cy="552450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781050" y="228600"/>
          <a:ext cx="1981200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All Funds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FY2015</a:t>
          </a:r>
        </a:p>
      </xdr:txBody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9525</xdr:colOff>
      <xdr:row>92</xdr:row>
      <xdr:rowOff>9525</xdr:rowOff>
    </xdr:to>
    <xdr:pic>
      <xdr:nvPicPr>
        <xdr:cNvPr id="6" name="Picture 6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9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781050</xdr:colOff>
      <xdr:row>1</xdr:row>
      <xdr:rowOff>66675</xdr:rowOff>
    </xdr:from>
    <xdr:ext cx="1981200" cy="552450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781050" y="228600"/>
          <a:ext cx="1981200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All Funds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FY2016</a:t>
          </a:r>
        </a:p>
      </xdr:txBody>
    </xdr:sp>
    <xdr:clientData/>
  </xdr:oneCellAnchor>
  <xdr:oneCellAnchor>
    <xdr:from>
      <xdr:col>0</xdr:col>
      <xdr:colOff>0</xdr:colOff>
      <xdr:row>92</xdr:row>
      <xdr:rowOff>0</xdr:rowOff>
    </xdr:from>
    <xdr:ext cx="9525" cy="9525"/>
    <xdr:pic>
      <xdr:nvPicPr>
        <xdr:cNvPr id="8" name="Picture 6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9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781050</xdr:colOff>
      <xdr:row>1</xdr:row>
      <xdr:rowOff>66675</xdr:rowOff>
    </xdr:from>
    <xdr:ext cx="1981200" cy="552450"/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781050" y="228600"/>
          <a:ext cx="1981200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All Funds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FY2016</a:t>
          </a:r>
        </a:p>
      </xdr:txBody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9525</xdr:colOff>
      <xdr:row>92</xdr:row>
      <xdr:rowOff>9525</xdr:rowOff>
    </xdr:to>
    <xdr:pic>
      <xdr:nvPicPr>
        <xdr:cNvPr id="10" name="Picture 6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9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37"/>
  <sheetViews>
    <sheetView showGridLines="0"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O139" sqref="O139"/>
    </sheetView>
  </sheetViews>
  <sheetFormatPr defaultRowHeight="15" x14ac:dyDescent="0.25"/>
  <cols>
    <col min="1" max="1" width="3.140625" style="33" customWidth="1"/>
    <col min="2" max="2" width="31.140625" style="33" bestFit="1" customWidth="1"/>
    <col min="3" max="3" width="12.28515625" style="33" customWidth="1"/>
    <col min="4" max="4" width="8.5703125" style="33" customWidth="1"/>
    <col min="5" max="5" width="14.5703125" style="33" customWidth="1"/>
    <col min="6" max="10" width="10.140625" style="33" customWidth="1"/>
    <col min="11" max="11" width="13.42578125" style="33" customWidth="1" collapsed="1"/>
    <col min="12" max="12" width="10.7109375" style="33" customWidth="1"/>
    <col min="13" max="14" width="11.140625" style="33" customWidth="1"/>
    <col min="15" max="15" width="12" style="33" customWidth="1"/>
    <col min="16" max="16" width="14" style="33" customWidth="1"/>
    <col min="17" max="17" width="12.42578125" style="33" customWidth="1"/>
    <col min="18" max="18" width="11.140625" style="33" customWidth="1"/>
    <col min="19" max="20" width="12.140625" style="33" bestFit="1" customWidth="1"/>
    <col min="21" max="21" width="11.140625" style="33" bestFit="1" customWidth="1"/>
    <col min="22" max="23" width="12.140625" style="33" bestFit="1" customWidth="1"/>
    <col min="24" max="24" width="11.140625" style="33" bestFit="1" customWidth="1"/>
    <col min="25" max="25" width="10.140625" style="33" bestFit="1" customWidth="1"/>
    <col min="26" max="16384" width="9.140625" style="33"/>
  </cols>
  <sheetData>
    <row r="2" spans="2:26" x14ac:dyDescent="0.2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2:26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2:26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2:26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2:26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2"/>
      <c r="X6" s="32"/>
      <c r="Y6" s="32"/>
      <c r="Z6" s="32"/>
    </row>
    <row r="7" spans="2:26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2"/>
      <c r="X7" s="32"/>
      <c r="Y7" s="32"/>
      <c r="Z7" s="32"/>
    </row>
    <row r="8" spans="2:26" ht="12.75" customHeight="1" x14ac:dyDescent="0.2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2"/>
      <c r="X8" s="32"/>
      <c r="Y8" s="32"/>
      <c r="Z8" s="32"/>
    </row>
    <row r="9" spans="2:26" hidden="1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2:26" s="41" customFormat="1" ht="33.75" customHeight="1" x14ac:dyDescent="0.2">
      <c r="B10" s="36" t="s">
        <v>0</v>
      </c>
      <c r="C10" s="37" t="s">
        <v>1</v>
      </c>
      <c r="D10" s="37" t="s">
        <v>2</v>
      </c>
      <c r="E10" s="38" t="s">
        <v>3</v>
      </c>
      <c r="F10" s="38" t="s">
        <v>4</v>
      </c>
      <c r="G10" s="38" t="s">
        <v>5</v>
      </c>
      <c r="H10" s="38" t="s">
        <v>6</v>
      </c>
      <c r="I10" s="38" t="s">
        <v>7</v>
      </c>
      <c r="J10" s="38" t="s">
        <v>8</v>
      </c>
      <c r="K10" s="38" t="s">
        <v>9</v>
      </c>
      <c r="L10" s="38" t="s">
        <v>10</v>
      </c>
      <c r="M10" s="38" t="s">
        <v>11</v>
      </c>
      <c r="N10" s="38" t="s">
        <v>12</v>
      </c>
      <c r="O10" s="38" t="s">
        <v>13</v>
      </c>
      <c r="P10" s="38" t="s">
        <v>14</v>
      </c>
      <c r="Q10" s="38" t="s">
        <v>15</v>
      </c>
      <c r="R10" s="38" t="s">
        <v>16</v>
      </c>
      <c r="S10" s="38" t="s">
        <v>17</v>
      </c>
      <c r="T10" s="38" t="s">
        <v>18</v>
      </c>
      <c r="U10" s="38" t="s">
        <v>19</v>
      </c>
      <c r="V10" s="39" t="s">
        <v>20</v>
      </c>
      <c r="W10" s="39" t="s">
        <v>21</v>
      </c>
      <c r="X10" s="40" t="s">
        <v>22</v>
      </c>
      <c r="Y10" s="40" t="s">
        <v>23</v>
      </c>
      <c r="Z10" s="40"/>
    </row>
    <row r="11" spans="2:26" ht="3" customHeight="1" thickBot="1" x14ac:dyDescent="0.3"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2:26" ht="12" customHeight="1" x14ac:dyDescent="0.25">
      <c r="B12" s="44" t="s">
        <v>24</v>
      </c>
      <c r="C12" s="45">
        <f t="shared" ref="C12:C23" si="0">IFERROR(VLOOKUP(B12,$B$81:$C$135,2,FALSE),0)</f>
        <v>316095</v>
      </c>
      <c r="D12" s="45">
        <f t="shared" ref="D12:D23" si="1">IFERROR(VLOOKUP($B12,$B$81:$D$135,3,FALSE),0)</f>
        <v>67570</v>
      </c>
      <c r="E12" s="45">
        <f t="shared" ref="E12:E23" si="2">IFERROR(VLOOKUP($B12,$B$81:$E$135,4,FALSE),0)</f>
        <v>232565</v>
      </c>
      <c r="F12" s="45">
        <f t="shared" ref="F12:F23" si="3">IFERROR(VLOOKUP($B12,$B$81:$F$135,5,FALSE),0)</f>
        <v>1296098</v>
      </c>
      <c r="G12" s="45">
        <f t="shared" ref="G12:G23" si="4">IFERROR(VLOOKUP($B12,$B$81:$G$135,6,FALSE),0)</f>
        <v>410130</v>
      </c>
      <c r="H12" s="45">
        <f t="shared" ref="H12:H23" si="5">IFERROR(VLOOKUP($B12,$B$81:$H$135,7,FALSE),0)</f>
        <v>772263</v>
      </c>
      <c r="I12" s="45">
        <f t="shared" ref="I12:I23" si="6">IFERROR(VLOOKUP($B12,$B$81:$I$135,8,FALSE),0)</f>
        <v>622608</v>
      </c>
      <c r="J12" s="45">
        <f t="shared" ref="J12:J23" si="7">IFERROR(VLOOKUP($B12,$B$81:$J$135,9,FALSE),0)</f>
        <v>572651</v>
      </c>
      <c r="K12" s="45">
        <f t="shared" ref="K12:K23" si="8">IFERROR(VLOOKUP($B12,$B$81:$K$135,10,FALSE),0)</f>
        <v>931321</v>
      </c>
      <c r="L12" s="45">
        <f t="shared" ref="L12:L23" si="9">IFERROR(VLOOKUP($B12,$B$81:$L$135,11,FALSE),0)</f>
        <v>1211587</v>
      </c>
      <c r="M12" s="46">
        <f>IFERROR(VLOOKUP($B12,$B$81:$M$135,12,FALSE),0)</f>
        <v>-840800</v>
      </c>
      <c r="N12" s="45">
        <f>IFERROR(VLOOKUP($B12,$B$81:$N$135,13,FALSE),0)</f>
        <v>392012</v>
      </c>
      <c r="O12" s="45">
        <f>IFERROR(VLOOKUP($B12,$B$81:$O$135,14,FALSE),0)</f>
        <v>4185032</v>
      </c>
      <c r="P12" s="45">
        <f>IFERROR(VLOOKUP($B12,$B$81:$P$135,15,FALSE),0)</f>
        <v>6020744</v>
      </c>
      <c r="Q12" s="45">
        <f>IFERROR(VLOOKUP($B12,$B$81:$Q$135,16,FALSE),0)</f>
        <v>6081450</v>
      </c>
      <c r="R12" s="45">
        <f>IFERROR(VLOOKUP($B12,$B$81:$R$135,17,FALSE),0)</f>
        <v>8013123</v>
      </c>
      <c r="S12" s="45">
        <f>IFERROR(VLOOKUP($B12,$B$81:$S$135,18,FALSE),0)</f>
        <v>476701</v>
      </c>
      <c r="T12" s="45">
        <f>IFERROR(VLOOKUP($B12,$B$81:$T$135,19,FALSE),0)</f>
        <v>1213162</v>
      </c>
      <c r="U12" s="45">
        <f>IFERROR(VLOOKUP($B12,$B$81:$U$135,20,FALSE),0)</f>
        <v>3994487</v>
      </c>
      <c r="V12" s="45">
        <f>SUM(C12:U12)</f>
        <v>35968799</v>
      </c>
      <c r="W12" s="45">
        <f>IFERROR(VLOOKUP($B12,$B$81:$W$135,22,FALSE),0)</f>
        <v>32848177</v>
      </c>
      <c r="X12" s="47">
        <f>V12-W12</f>
        <v>3120622</v>
      </c>
      <c r="Y12" s="48">
        <f t="shared" ref="Y12:Y72" si="10">IF(W12=0,100%,X12/W12)</f>
        <v>9.5001375571009614E-2</v>
      </c>
      <c r="Z12" s="48"/>
    </row>
    <row r="13" spans="2:26" ht="12" customHeight="1" x14ac:dyDescent="0.25">
      <c r="B13" s="44" t="s">
        <v>25</v>
      </c>
      <c r="C13" s="49">
        <f t="shared" si="0"/>
        <v>0</v>
      </c>
      <c r="D13" s="49">
        <f t="shared" si="1"/>
        <v>0</v>
      </c>
      <c r="E13" s="49">
        <f t="shared" si="2"/>
        <v>0</v>
      </c>
      <c r="F13" s="49">
        <f t="shared" si="3"/>
        <v>0</v>
      </c>
      <c r="G13" s="49">
        <f t="shared" si="4"/>
        <v>0</v>
      </c>
      <c r="H13" s="49">
        <f t="shared" si="5"/>
        <v>0</v>
      </c>
      <c r="I13" s="49">
        <f t="shared" si="6"/>
        <v>0</v>
      </c>
      <c r="J13" s="49">
        <f t="shared" si="7"/>
        <v>0</v>
      </c>
      <c r="K13" s="49">
        <f t="shared" si="8"/>
        <v>0</v>
      </c>
      <c r="L13" s="49">
        <f t="shared" si="9"/>
        <v>0</v>
      </c>
      <c r="M13" s="49">
        <f t="shared" ref="M13:M23" si="11">IFERROR(VLOOKUP($B13,$B$81:$M$135,12,FALSE),0)</f>
        <v>1137601</v>
      </c>
      <c r="N13" s="49">
        <f t="shared" ref="N13:N23" si="12">IFERROR(VLOOKUP($B13,$B$81:$N$135,13,FALSE),0)</f>
        <v>0</v>
      </c>
      <c r="O13" s="49">
        <f t="shared" ref="O13:O23" si="13">IFERROR(VLOOKUP($B13,$B$81:$O$135,14,FALSE),0)</f>
        <v>0</v>
      </c>
      <c r="P13" s="49">
        <f t="shared" ref="P13:P23" si="14">IFERROR(VLOOKUP($B13,$B$81:$P$135,15,FALSE),0)</f>
        <v>0</v>
      </c>
      <c r="Q13" s="49">
        <f t="shared" ref="Q13:Q23" si="15">IFERROR(VLOOKUP($B13,$B$81:$Q$135,16,FALSE),0)</f>
        <v>0</v>
      </c>
      <c r="R13" s="49">
        <f t="shared" ref="R13:R23" si="16">IFERROR(VLOOKUP($B13,$B$81:$R$135,17,FALSE),0)</f>
        <v>0</v>
      </c>
      <c r="S13" s="49">
        <f t="shared" ref="S13:S23" si="17">IFERROR(VLOOKUP($B13,$B$81:$S$135,18,FALSE),0)</f>
        <v>0</v>
      </c>
      <c r="T13" s="49">
        <f t="shared" ref="T13:T23" si="18">IFERROR(VLOOKUP($B13,$B$81:$T$135,19,FALSE),0)</f>
        <v>0</v>
      </c>
      <c r="U13" s="49">
        <f t="shared" ref="U13:U23" si="19">IFERROR(VLOOKUP($B13,$B$81:$U$135,20,FALSE),0)</f>
        <v>0</v>
      </c>
      <c r="V13" s="49">
        <f t="shared" ref="V13:V23" si="20">SUM(C13:U13)</f>
        <v>1137601</v>
      </c>
      <c r="W13" s="49">
        <f t="shared" ref="W13:W23" si="21">IFERROR(VLOOKUP($B13,$B$81:$W$135,22,FALSE),0)</f>
        <v>779957</v>
      </c>
      <c r="X13" s="50">
        <f t="shared" ref="X13:X71" si="22">V13-W13</f>
        <v>357644</v>
      </c>
      <c r="Y13" s="48">
        <f t="shared" si="10"/>
        <v>0.45854322738304804</v>
      </c>
      <c r="Z13" s="48"/>
    </row>
    <row r="14" spans="2:26" ht="12" customHeight="1" x14ac:dyDescent="0.25">
      <c r="B14" s="44" t="s">
        <v>26</v>
      </c>
      <c r="C14" s="49">
        <f t="shared" si="0"/>
        <v>0</v>
      </c>
      <c r="D14" s="49">
        <f t="shared" si="1"/>
        <v>0</v>
      </c>
      <c r="E14" s="49">
        <f t="shared" si="2"/>
        <v>0</v>
      </c>
      <c r="F14" s="49">
        <f t="shared" si="3"/>
        <v>0</v>
      </c>
      <c r="G14" s="49">
        <f t="shared" si="4"/>
        <v>0</v>
      </c>
      <c r="H14" s="49">
        <f t="shared" si="5"/>
        <v>32439</v>
      </c>
      <c r="I14" s="49">
        <f t="shared" si="6"/>
        <v>0</v>
      </c>
      <c r="J14" s="49">
        <f t="shared" si="7"/>
        <v>0</v>
      </c>
      <c r="K14" s="49">
        <f t="shared" si="8"/>
        <v>0</v>
      </c>
      <c r="L14" s="49">
        <f t="shared" si="9"/>
        <v>0</v>
      </c>
      <c r="M14" s="49">
        <f t="shared" si="11"/>
        <v>0</v>
      </c>
      <c r="N14" s="49">
        <f t="shared" si="12"/>
        <v>63000</v>
      </c>
      <c r="O14" s="49">
        <f t="shared" si="13"/>
        <v>0</v>
      </c>
      <c r="P14" s="49">
        <f t="shared" si="14"/>
        <v>0</v>
      </c>
      <c r="Q14" s="49">
        <f t="shared" si="15"/>
        <v>0</v>
      </c>
      <c r="R14" s="49">
        <f t="shared" si="16"/>
        <v>0</v>
      </c>
      <c r="S14" s="49">
        <f t="shared" si="17"/>
        <v>0</v>
      </c>
      <c r="T14" s="49">
        <f t="shared" si="18"/>
        <v>0</v>
      </c>
      <c r="U14" s="49">
        <f t="shared" si="19"/>
        <v>0</v>
      </c>
      <c r="V14" s="49">
        <f t="shared" si="20"/>
        <v>95439</v>
      </c>
      <c r="W14" s="49">
        <f t="shared" si="21"/>
        <v>23917</v>
      </c>
      <c r="X14" s="50">
        <f t="shared" si="22"/>
        <v>71522</v>
      </c>
      <c r="Y14" s="48">
        <f t="shared" si="10"/>
        <v>2.9904252205544175</v>
      </c>
      <c r="Z14" s="48"/>
    </row>
    <row r="15" spans="2:26" ht="12" customHeight="1" x14ac:dyDescent="0.25">
      <c r="B15" s="44" t="s">
        <v>27</v>
      </c>
      <c r="C15" s="49">
        <f t="shared" si="0"/>
        <v>0</v>
      </c>
      <c r="D15" s="49">
        <f t="shared" si="1"/>
        <v>0</v>
      </c>
      <c r="E15" s="49">
        <f t="shared" si="2"/>
        <v>0</v>
      </c>
      <c r="F15" s="49">
        <f t="shared" si="3"/>
        <v>700</v>
      </c>
      <c r="G15" s="49">
        <f t="shared" si="4"/>
        <v>0</v>
      </c>
      <c r="H15" s="49">
        <f t="shared" si="5"/>
        <v>2047</v>
      </c>
      <c r="I15" s="49">
        <f t="shared" si="6"/>
        <v>0</v>
      </c>
      <c r="J15" s="49">
        <f t="shared" si="7"/>
        <v>0</v>
      </c>
      <c r="K15" s="49">
        <f t="shared" si="8"/>
        <v>1984</v>
      </c>
      <c r="L15" s="49">
        <f t="shared" si="9"/>
        <v>2714</v>
      </c>
      <c r="M15" s="49">
        <f t="shared" si="11"/>
        <v>0</v>
      </c>
      <c r="N15" s="49">
        <f t="shared" si="12"/>
        <v>0</v>
      </c>
      <c r="O15" s="49">
        <f t="shared" si="13"/>
        <v>57906</v>
      </c>
      <c r="P15" s="49">
        <f t="shared" si="14"/>
        <v>138899</v>
      </c>
      <c r="Q15" s="49">
        <f t="shared" si="15"/>
        <v>90000</v>
      </c>
      <c r="R15" s="49">
        <f t="shared" si="16"/>
        <v>340000</v>
      </c>
      <c r="S15" s="49">
        <f t="shared" si="17"/>
        <v>0</v>
      </c>
      <c r="T15" s="49">
        <f t="shared" si="18"/>
        <v>0</v>
      </c>
      <c r="U15" s="49">
        <f t="shared" si="19"/>
        <v>23421</v>
      </c>
      <c r="V15" s="49">
        <f t="shared" si="20"/>
        <v>657671</v>
      </c>
      <c r="W15" s="49">
        <f t="shared" si="21"/>
        <v>611286</v>
      </c>
      <c r="X15" s="50">
        <f t="shared" si="22"/>
        <v>46385</v>
      </c>
      <c r="Y15" s="48">
        <f t="shared" si="10"/>
        <v>7.5881011506888751E-2</v>
      </c>
      <c r="Z15" s="48"/>
    </row>
    <row r="16" spans="2:26" ht="12" customHeight="1" x14ac:dyDescent="0.25">
      <c r="B16" s="44" t="s">
        <v>28</v>
      </c>
      <c r="C16" s="49">
        <f t="shared" si="0"/>
        <v>0</v>
      </c>
      <c r="D16" s="49">
        <f t="shared" si="1"/>
        <v>0</v>
      </c>
      <c r="E16" s="49">
        <f t="shared" si="2"/>
        <v>0</v>
      </c>
      <c r="F16" s="49">
        <f t="shared" si="3"/>
        <v>0</v>
      </c>
      <c r="G16" s="49">
        <f t="shared" si="4"/>
        <v>0</v>
      </c>
      <c r="H16" s="49">
        <f t="shared" si="5"/>
        <v>0</v>
      </c>
      <c r="I16" s="49">
        <f t="shared" si="6"/>
        <v>0</v>
      </c>
      <c r="J16" s="49">
        <f t="shared" si="7"/>
        <v>0</v>
      </c>
      <c r="K16" s="49">
        <f t="shared" si="8"/>
        <v>0</v>
      </c>
      <c r="L16" s="49">
        <f t="shared" si="9"/>
        <v>0</v>
      </c>
      <c r="M16" s="49">
        <f t="shared" si="11"/>
        <v>9042372</v>
      </c>
      <c r="N16" s="49">
        <f t="shared" si="12"/>
        <v>0</v>
      </c>
      <c r="O16" s="49">
        <f t="shared" si="13"/>
        <v>0</v>
      </c>
      <c r="P16" s="49">
        <f t="shared" si="14"/>
        <v>0</v>
      </c>
      <c r="Q16" s="49">
        <f t="shared" si="15"/>
        <v>0</v>
      </c>
      <c r="R16" s="49">
        <f t="shared" si="16"/>
        <v>0</v>
      </c>
      <c r="S16" s="49">
        <f t="shared" si="17"/>
        <v>0</v>
      </c>
      <c r="T16" s="49">
        <f t="shared" si="18"/>
        <v>0</v>
      </c>
      <c r="U16" s="49">
        <f t="shared" si="19"/>
        <v>0</v>
      </c>
      <c r="V16" s="49">
        <f t="shared" si="20"/>
        <v>9042372</v>
      </c>
      <c r="W16" s="49">
        <f t="shared" si="21"/>
        <v>6022538</v>
      </c>
      <c r="X16" s="50">
        <f t="shared" si="22"/>
        <v>3019834</v>
      </c>
      <c r="Y16" s="48">
        <f t="shared" si="10"/>
        <v>0.50142215790087175</v>
      </c>
      <c r="Z16" s="48"/>
    </row>
    <row r="17" spans="2:26" ht="12" customHeight="1" x14ac:dyDescent="0.25">
      <c r="B17" s="44" t="s">
        <v>29</v>
      </c>
      <c r="C17" s="49">
        <f t="shared" si="0"/>
        <v>33023</v>
      </c>
      <c r="D17" s="49">
        <f t="shared" si="1"/>
        <v>8419</v>
      </c>
      <c r="E17" s="49">
        <f t="shared" si="2"/>
        <v>28467</v>
      </c>
      <c r="F17" s="49">
        <f t="shared" si="3"/>
        <v>160840</v>
      </c>
      <c r="G17" s="49">
        <f t="shared" si="4"/>
        <v>51441</v>
      </c>
      <c r="H17" s="49">
        <f t="shared" si="5"/>
        <v>100194</v>
      </c>
      <c r="I17" s="49">
        <f t="shared" si="6"/>
        <v>77324</v>
      </c>
      <c r="J17" s="49">
        <f t="shared" si="7"/>
        <v>73461</v>
      </c>
      <c r="K17" s="49">
        <f t="shared" si="8"/>
        <v>116059</v>
      </c>
      <c r="L17" s="49">
        <f t="shared" si="9"/>
        <v>154513</v>
      </c>
      <c r="M17" s="50">
        <f t="shared" si="11"/>
        <v>-104550</v>
      </c>
      <c r="N17" s="49">
        <f t="shared" si="12"/>
        <v>49442</v>
      </c>
      <c r="O17" s="49">
        <f t="shared" si="13"/>
        <v>531886</v>
      </c>
      <c r="P17" s="49">
        <f t="shared" si="14"/>
        <v>757410</v>
      </c>
      <c r="Q17" s="49">
        <f t="shared" si="15"/>
        <v>760940</v>
      </c>
      <c r="R17" s="49">
        <f t="shared" si="16"/>
        <v>1007889</v>
      </c>
      <c r="S17" s="49">
        <f t="shared" si="17"/>
        <v>58984</v>
      </c>
      <c r="T17" s="49">
        <f t="shared" si="18"/>
        <v>147084</v>
      </c>
      <c r="U17" s="49">
        <f t="shared" si="19"/>
        <v>491628</v>
      </c>
      <c r="V17" s="49">
        <f t="shared" si="20"/>
        <v>4504454</v>
      </c>
      <c r="W17" s="49">
        <f t="shared" si="21"/>
        <v>4356610</v>
      </c>
      <c r="X17" s="50">
        <f t="shared" si="22"/>
        <v>147844</v>
      </c>
      <c r="Y17" s="48">
        <f t="shared" si="10"/>
        <v>3.3935559988155929E-2</v>
      </c>
      <c r="Z17" s="48"/>
    </row>
    <row r="18" spans="2:26" ht="12" customHeight="1" x14ac:dyDescent="0.25">
      <c r="B18" s="44" t="s">
        <v>30</v>
      </c>
      <c r="C18" s="49">
        <f t="shared" si="0"/>
        <v>0</v>
      </c>
      <c r="D18" s="49">
        <f t="shared" si="1"/>
        <v>0</v>
      </c>
      <c r="E18" s="49">
        <f t="shared" si="2"/>
        <v>0</v>
      </c>
      <c r="F18" s="49">
        <f t="shared" si="3"/>
        <v>0</v>
      </c>
      <c r="G18" s="49">
        <f t="shared" si="4"/>
        <v>0</v>
      </c>
      <c r="H18" s="49">
        <f t="shared" si="5"/>
        <v>4056</v>
      </c>
      <c r="I18" s="49">
        <f t="shared" si="6"/>
        <v>0</v>
      </c>
      <c r="J18" s="49">
        <f t="shared" si="7"/>
        <v>0</v>
      </c>
      <c r="K18" s="49">
        <f t="shared" si="8"/>
        <v>0</v>
      </c>
      <c r="L18" s="49">
        <f t="shared" si="9"/>
        <v>0</v>
      </c>
      <c r="M18" s="49">
        <f t="shared" si="11"/>
        <v>0</v>
      </c>
      <c r="N18" s="49">
        <f t="shared" si="12"/>
        <v>8102</v>
      </c>
      <c r="O18" s="49">
        <f t="shared" si="13"/>
        <v>0</v>
      </c>
      <c r="P18" s="49">
        <f t="shared" si="14"/>
        <v>0</v>
      </c>
      <c r="Q18" s="49">
        <f t="shared" si="15"/>
        <v>0</v>
      </c>
      <c r="R18" s="49">
        <f t="shared" si="16"/>
        <v>0</v>
      </c>
      <c r="S18" s="49">
        <f t="shared" si="17"/>
        <v>0</v>
      </c>
      <c r="T18" s="49">
        <f t="shared" si="18"/>
        <v>0</v>
      </c>
      <c r="U18" s="49">
        <f t="shared" si="19"/>
        <v>0</v>
      </c>
      <c r="V18" s="49">
        <f t="shared" si="20"/>
        <v>12158</v>
      </c>
      <c r="W18" s="49">
        <f t="shared" si="21"/>
        <v>3167</v>
      </c>
      <c r="X18" s="50">
        <f t="shared" si="22"/>
        <v>8991</v>
      </c>
      <c r="Y18" s="48">
        <f t="shared" si="10"/>
        <v>2.8389643195453109</v>
      </c>
      <c r="Z18" s="48"/>
    </row>
    <row r="19" spans="2:26" ht="12" customHeight="1" x14ac:dyDescent="0.25">
      <c r="B19" s="44" t="s">
        <v>31</v>
      </c>
      <c r="C19" s="49">
        <f t="shared" si="0"/>
        <v>0</v>
      </c>
      <c r="D19" s="49">
        <f t="shared" si="1"/>
        <v>0</v>
      </c>
      <c r="E19" s="49">
        <f t="shared" si="2"/>
        <v>0</v>
      </c>
      <c r="F19" s="49">
        <f t="shared" si="3"/>
        <v>0</v>
      </c>
      <c r="G19" s="49">
        <f t="shared" si="4"/>
        <v>0</v>
      </c>
      <c r="H19" s="49">
        <f t="shared" si="5"/>
        <v>0</v>
      </c>
      <c r="I19" s="49">
        <f t="shared" si="6"/>
        <v>0</v>
      </c>
      <c r="J19" s="49">
        <f t="shared" si="7"/>
        <v>0</v>
      </c>
      <c r="K19" s="49">
        <f t="shared" si="8"/>
        <v>0</v>
      </c>
      <c r="L19" s="49">
        <f t="shared" si="9"/>
        <v>0</v>
      </c>
      <c r="M19" s="49">
        <f t="shared" si="11"/>
        <v>143090</v>
      </c>
      <c r="N19" s="49">
        <f t="shared" si="12"/>
        <v>0</v>
      </c>
      <c r="O19" s="49">
        <f t="shared" si="13"/>
        <v>0</v>
      </c>
      <c r="P19" s="49">
        <f t="shared" si="14"/>
        <v>0</v>
      </c>
      <c r="Q19" s="49">
        <f t="shared" si="15"/>
        <v>0</v>
      </c>
      <c r="R19" s="49">
        <f t="shared" si="16"/>
        <v>0</v>
      </c>
      <c r="S19" s="49">
        <f t="shared" si="17"/>
        <v>0</v>
      </c>
      <c r="T19" s="49">
        <f t="shared" si="18"/>
        <v>0</v>
      </c>
      <c r="U19" s="49">
        <f t="shared" si="19"/>
        <v>0</v>
      </c>
      <c r="V19" s="49">
        <f t="shared" si="20"/>
        <v>143090</v>
      </c>
      <c r="W19" s="49">
        <f t="shared" si="21"/>
        <v>148080</v>
      </c>
      <c r="X19" s="50">
        <f t="shared" si="22"/>
        <v>-4990</v>
      </c>
      <c r="Y19" s="48">
        <f t="shared" si="10"/>
        <v>-3.3698001080497031E-2</v>
      </c>
      <c r="Z19" s="48"/>
    </row>
    <row r="20" spans="2:26" ht="12" customHeight="1" x14ac:dyDescent="0.25">
      <c r="B20" s="44" t="s">
        <v>32</v>
      </c>
      <c r="C20" s="49">
        <f t="shared" si="0"/>
        <v>0</v>
      </c>
      <c r="D20" s="49">
        <f t="shared" si="1"/>
        <v>0</v>
      </c>
      <c r="E20" s="49">
        <f t="shared" si="2"/>
        <v>0</v>
      </c>
      <c r="F20" s="49">
        <f t="shared" si="3"/>
        <v>0</v>
      </c>
      <c r="G20" s="49">
        <f t="shared" si="4"/>
        <v>0</v>
      </c>
      <c r="H20" s="49">
        <f t="shared" si="5"/>
        <v>25894</v>
      </c>
      <c r="I20" s="49">
        <f t="shared" si="6"/>
        <v>0</v>
      </c>
      <c r="J20" s="49">
        <f t="shared" si="7"/>
        <v>0</v>
      </c>
      <c r="K20" s="49">
        <f t="shared" si="8"/>
        <v>0</v>
      </c>
      <c r="L20" s="49">
        <f t="shared" si="9"/>
        <v>0</v>
      </c>
      <c r="M20" s="49">
        <f t="shared" si="11"/>
        <v>0</v>
      </c>
      <c r="N20" s="49">
        <f t="shared" si="12"/>
        <v>0</v>
      </c>
      <c r="O20" s="49">
        <f t="shared" si="13"/>
        <v>0</v>
      </c>
      <c r="P20" s="49">
        <f t="shared" si="14"/>
        <v>0</v>
      </c>
      <c r="Q20" s="49">
        <f t="shared" si="15"/>
        <v>0</v>
      </c>
      <c r="R20" s="49">
        <f t="shared" si="16"/>
        <v>0</v>
      </c>
      <c r="S20" s="49">
        <f t="shared" si="17"/>
        <v>0</v>
      </c>
      <c r="T20" s="49">
        <f t="shared" si="18"/>
        <v>0</v>
      </c>
      <c r="U20" s="49">
        <f t="shared" si="19"/>
        <v>0</v>
      </c>
      <c r="V20" s="49">
        <f t="shared" si="20"/>
        <v>25894</v>
      </c>
      <c r="W20" s="49">
        <f t="shared" si="21"/>
        <v>32000</v>
      </c>
      <c r="X20" s="50">
        <f t="shared" si="22"/>
        <v>-6106</v>
      </c>
      <c r="Y20" s="48">
        <f t="shared" si="10"/>
        <v>-0.1908125</v>
      </c>
      <c r="Z20" s="48"/>
    </row>
    <row r="21" spans="2:26" ht="12" customHeight="1" x14ac:dyDescent="0.25">
      <c r="B21" s="44" t="s">
        <v>33</v>
      </c>
      <c r="C21" s="49">
        <f t="shared" si="0"/>
        <v>0</v>
      </c>
      <c r="D21" s="49">
        <f t="shared" si="1"/>
        <v>0</v>
      </c>
      <c r="E21" s="49">
        <f t="shared" si="2"/>
        <v>0</v>
      </c>
      <c r="F21" s="49">
        <f t="shared" si="3"/>
        <v>0</v>
      </c>
      <c r="G21" s="49">
        <f t="shared" si="4"/>
        <v>0</v>
      </c>
      <c r="H21" s="49">
        <f t="shared" si="5"/>
        <v>0</v>
      </c>
      <c r="I21" s="49">
        <f t="shared" si="6"/>
        <v>0</v>
      </c>
      <c r="J21" s="49">
        <f t="shared" si="7"/>
        <v>0</v>
      </c>
      <c r="K21" s="49">
        <f t="shared" si="8"/>
        <v>0</v>
      </c>
      <c r="L21" s="49">
        <f t="shared" si="9"/>
        <v>0</v>
      </c>
      <c r="M21" s="49">
        <f t="shared" si="11"/>
        <v>200000</v>
      </c>
      <c r="N21" s="49">
        <f t="shared" si="12"/>
        <v>0</v>
      </c>
      <c r="O21" s="49">
        <f t="shared" si="13"/>
        <v>0</v>
      </c>
      <c r="P21" s="49">
        <f t="shared" si="14"/>
        <v>0</v>
      </c>
      <c r="Q21" s="49">
        <f t="shared" si="15"/>
        <v>0</v>
      </c>
      <c r="R21" s="49">
        <f t="shared" si="16"/>
        <v>0</v>
      </c>
      <c r="S21" s="49">
        <f t="shared" si="17"/>
        <v>0</v>
      </c>
      <c r="T21" s="49">
        <f t="shared" si="18"/>
        <v>0</v>
      </c>
      <c r="U21" s="49">
        <f t="shared" si="19"/>
        <v>0</v>
      </c>
      <c r="V21" s="49">
        <f t="shared" si="20"/>
        <v>200000</v>
      </c>
      <c r="W21" s="49">
        <f t="shared" si="21"/>
        <v>200000</v>
      </c>
      <c r="X21" s="50">
        <f t="shared" si="22"/>
        <v>0</v>
      </c>
      <c r="Y21" s="48">
        <f t="shared" si="10"/>
        <v>0</v>
      </c>
      <c r="Z21" s="48"/>
    </row>
    <row r="22" spans="2:26" ht="12" customHeight="1" x14ac:dyDescent="0.25">
      <c r="B22" s="44" t="s">
        <v>34</v>
      </c>
      <c r="C22" s="49">
        <f t="shared" si="0"/>
        <v>0</v>
      </c>
      <c r="D22" s="49">
        <f t="shared" si="1"/>
        <v>0</v>
      </c>
      <c r="E22" s="49">
        <f t="shared" si="2"/>
        <v>0</v>
      </c>
      <c r="F22" s="49">
        <f t="shared" si="3"/>
        <v>0</v>
      </c>
      <c r="G22" s="49">
        <f t="shared" si="4"/>
        <v>0</v>
      </c>
      <c r="H22" s="49">
        <f t="shared" si="5"/>
        <v>0</v>
      </c>
      <c r="I22" s="49">
        <f t="shared" si="6"/>
        <v>0</v>
      </c>
      <c r="J22" s="49">
        <f t="shared" si="7"/>
        <v>0</v>
      </c>
      <c r="K22" s="49">
        <f t="shared" si="8"/>
        <v>0</v>
      </c>
      <c r="L22" s="49">
        <f t="shared" si="9"/>
        <v>0</v>
      </c>
      <c r="M22" s="49">
        <f t="shared" si="11"/>
        <v>1920000</v>
      </c>
      <c r="N22" s="49">
        <f t="shared" si="12"/>
        <v>0</v>
      </c>
      <c r="O22" s="49">
        <f t="shared" si="13"/>
        <v>0</v>
      </c>
      <c r="P22" s="49">
        <f t="shared" si="14"/>
        <v>0</v>
      </c>
      <c r="Q22" s="49">
        <f t="shared" si="15"/>
        <v>0</v>
      </c>
      <c r="R22" s="49">
        <f t="shared" si="16"/>
        <v>0</v>
      </c>
      <c r="S22" s="49">
        <f t="shared" si="17"/>
        <v>0</v>
      </c>
      <c r="T22" s="49">
        <f t="shared" si="18"/>
        <v>0</v>
      </c>
      <c r="U22" s="49">
        <f t="shared" si="19"/>
        <v>0</v>
      </c>
      <c r="V22" s="49">
        <f t="shared" si="20"/>
        <v>1920000</v>
      </c>
      <c r="W22" s="49">
        <f t="shared" si="21"/>
        <v>3724831</v>
      </c>
      <c r="X22" s="50">
        <f t="shared" si="22"/>
        <v>-1804831</v>
      </c>
      <c r="Y22" s="48">
        <f t="shared" si="10"/>
        <v>-0.48454037243568904</v>
      </c>
      <c r="Z22" s="48"/>
    </row>
    <row r="23" spans="2:26" ht="12" customHeight="1" x14ac:dyDescent="0.25">
      <c r="B23" s="44" t="s">
        <v>35</v>
      </c>
      <c r="C23" s="49">
        <f t="shared" si="0"/>
        <v>0</v>
      </c>
      <c r="D23" s="49">
        <f t="shared" si="1"/>
        <v>0</v>
      </c>
      <c r="E23" s="49">
        <f t="shared" si="2"/>
        <v>0</v>
      </c>
      <c r="F23" s="49">
        <f t="shared" si="3"/>
        <v>0</v>
      </c>
      <c r="G23" s="49">
        <f t="shared" si="4"/>
        <v>0</v>
      </c>
      <c r="H23" s="49">
        <f t="shared" si="5"/>
        <v>0</v>
      </c>
      <c r="I23" s="49">
        <f t="shared" si="6"/>
        <v>0</v>
      </c>
      <c r="J23" s="49">
        <f t="shared" si="7"/>
        <v>0</v>
      </c>
      <c r="K23" s="49">
        <f t="shared" si="8"/>
        <v>0</v>
      </c>
      <c r="L23" s="49">
        <f t="shared" si="9"/>
        <v>0</v>
      </c>
      <c r="M23" s="49">
        <f t="shared" si="11"/>
        <v>350524</v>
      </c>
      <c r="N23" s="49">
        <f t="shared" si="12"/>
        <v>0</v>
      </c>
      <c r="O23" s="49">
        <f t="shared" si="13"/>
        <v>0</v>
      </c>
      <c r="P23" s="49">
        <f t="shared" si="14"/>
        <v>0</v>
      </c>
      <c r="Q23" s="49">
        <f t="shared" si="15"/>
        <v>0</v>
      </c>
      <c r="R23" s="49">
        <f t="shared" si="16"/>
        <v>0</v>
      </c>
      <c r="S23" s="49">
        <f t="shared" si="17"/>
        <v>0</v>
      </c>
      <c r="T23" s="49">
        <f t="shared" si="18"/>
        <v>0</v>
      </c>
      <c r="U23" s="49">
        <f t="shared" si="19"/>
        <v>0</v>
      </c>
      <c r="V23" s="49">
        <f t="shared" si="20"/>
        <v>350524</v>
      </c>
      <c r="W23" s="49">
        <f t="shared" si="21"/>
        <v>323960</v>
      </c>
      <c r="X23" s="50">
        <f t="shared" si="22"/>
        <v>26564</v>
      </c>
      <c r="Y23" s="48">
        <f t="shared" si="10"/>
        <v>8.1997777503395486E-2</v>
      </c>
      <c r="Z23" s="48"/>
    </row>
    <row r="24" spans="2:26" s="54" customFormat="1" ht="12" customHeight="1" x14ac:dyDescent="0.25">
      <c r="B24" s="51" t="s">
        <v>106</v>
      </c>
      <c r="C24" s="52">
        <f>SUM(C12:C23)</f>
        <v>349118</v>
      </c>
      <c r="D24" s="52">
        <f t="shared" ref="D24:X24" si="23">SUM(D12:D23)</f>
        <v>75989</v>
      </c>
      <c r="E24" s="52">
        <f t="shared" si="23"/>
        <v>261032</v>
      </c>
      <c r="F24" s="52">
        <f t="shared" si="23"/>
        <v>1457638</v>
      </c>
      <c r="G24" s="52">
        <f t="shared" si="23"/>
        <v>461571</v>
      </c>
      <c r="H24" s="52">
        <f t="shared" si="23"/>
        <v>936893</v>
      </c>
      <c r="I24" s="52">
        <f t="shared" si="23"/>
        <v>699932</v>
      </c>
      <c r="J24" s="52">
        <f>SUM(J12:J23)</f>
        <v>646112</v>
      </c>
      <c r="K24" s="52">
        <f t="shared" si="23"/>
        <v>1049364</v>
      </c>
      <c r="L24" s="52">
        <f t="shared" si="23"/>
        <v>1368814</v>
      </c>
      <c r="M24" s="52">
        <f t="shared" si="23"/>
        <v>11848237</v>
      </c>
      <c r="N24" s="52">
        <f t="shared" si="23"/>
        <v>512556</v>
      </c>
      <c r="O24" s="52">
        <f t="shared" si="23"/>
        <v>4774824</v>
      </c>
      <c r="P24" s="52">
        <f t="shared" si="23"/>
        <v>6917053</v>
      </c>
      <c r="Q24" s="52">
        <f t="shared" si="23"/>
        <v>6932390</v>
      </c>
      <c r="R24" s="52">
        <f t="shared" si="23"/>
        <v>9361012</v>
      </c>
      <c r="S24" s="52">
        <f t="shared" si="23"/>
        <v>535685</v>
      </c>
      <c r="T24" s="52">
        <f t="shared" si="23"/>
        <v>1360246</v>
      </c>
      <c r="U24" s="52">
        <f t="shared" si="23"/>
        <v>4509536</v>
      </c>
      <c r="V24" s="52">
        <f t="shared" si="23"/>
        <v>54058002</v>
      </c>
      <c r="W24" s="52">
        <f t="shared" si="23"/>
        <v>49074523</v>
      </c>
      <c r="X24" s="52">
        <f t="shared" si="23"/>
        <v>4983479</v>
      </c>
      <c r="Y24" s="53">
        <f>IF(W24=0,100%,X24/W24)</f>
        <v>0.10154920914870634</v>
      </c>
      <c r="Z24" s="53"/>
    </row>
    <row r="25" spans="2:26" ht="12" customHeight="1" x14ac:dyDescent="0.25">
      <c r="B25" s="44" t="s">
        <v>37</v>
      </c>
      <c r="C25" s="49">
        <f t="shared" ref="C25:C50" si="24">IFERROR(VLOOKUP(B25,$B$81:$C$135,2,FALSE),0)</f>
        <v>120176</v>
      </c>
      <c r="D25" s="49">
        <f t="shared" ref="D25:D50" si="25">IFERROR(VLOOKUP($B25,$B$81:$D$135,3,FALSE),0)</f>
        <v>0</v>
      </c>
      <c r="E25" s="49">
        <f t="shared" ref="E25:E50" si="26">IFERROR(VLOOKUP($B25,$B$81:$E$135,4,FALSE),0)</f>
        <v>450000</v>
      </c>
      <c r="F25" s="49">
        <f t="shared" ref="F25:F50" si="27">IFERROR(VLOOKUP($B25,$B$81:$F$135,5,FALSE),0)</f>
        <v>900</v>
      </c>
      <c r="G25" s="49">
        <f t="shared" ref="G25:G50" si="28">IFERROR(VLOOKUP($B25,$B$81:$G$135,6,FALSE),0)</f>
        <v>50700</v>
      </c>
      <c r="H25" s="49">
        <f t="shared" ref="H25:H50" si="29">IFERROR(VLOOKUP($B25,$B$81:$H$135,7,FALSE),0)</f>
        <v>127644</v>
      </c>
      <c r="I25" s="49">
        <f t="shared" ref="I25:I50" si="30">IFERROR(VLOOKUP($B25,$B$81:$I$135,8,FALSE),0)</f>
        <v>42995</v>
      </c>
      <c r="J25" s="49">
        <f t="shared" ref="J25:J50" si="31">IFERROR(VLOOKUP($B25,$B$81:$J$135,9,FALSE),0)</f>
        <v>0</v>
      </c>
      <c r="K25" s="49">
        <f t="shared" ref="K25:K50" si="32">IFERROR(VLOOKUP($B25,$B$81:$K$135,10,FALSE),0)</f>
        <v>1809</v>
      </c>
      <c r="L25" s="49">
        <f t="shared" ref="L25:L50" si="33">IFERROR(VLOOKUP($B25,$B$81:$L$135,11,FALSE),0)</f>
        <v>1014637</v>
      </c>
      <c r="M25" s="49">
        <f t="shared" ref="M25:M50" si="34">IFERROR(VLOOKUP($B25,$B$81:$M$135,12,FALSE),0)</f>
        <v>0</v>
      </c>
      <c r="N25" s="49">
        <f t="shared" ref="N25:N50" si="35">IFERROR(VLOOKUP($B25,$B$81:$N$135,13,FALSE),0)</f>
        <v>127198</v>
      </c>
      <c r="O25" s="49">
        <f t="shared" ref="O25:O50" si="36">IFERROR(VLOOKUP($B25,$B$81:$O$135,14,FALSE),0)</f>
        <v>6331136</v>
      </c>
      <c r="P25" s="49">
        <f t="shared" ref="P25:P50" si="37">IFERROR(VLOOKUP($B25,$B$81:$P$135,15,FALSE),0)</f>
        <v>1629274</v>
      </c>
      <c r="Q25" s="49">
        <f t="shared" ref="Q25:Q50" si="38">IFERROR(VLOOKUP($B25,$B$81:$Q$135,16,FALSE),0)</f>
        <v>93402</v>
      </c>
      <c r="R25" s="49">
        <f t="shared" ref="R25:R50" si="39">IFERROR(VLOOKUP($B25,$B$81:$R$135,17,FALSE),0)</f>
        <v>100000</v>
      </c>
      <c r="S25" s="49">
        <f t="shared" ref="S25:S50" si="40">IFERROR(VLOOKUP($B25,$B$81:$S$135,18,FALSE),0)</f>
        <v>0</v>
      </c>
      <c r="T25" s="49">
        <f t="shared" ref="T25:T50" si="41">IFERROR(VLOOKUP($B25,$B$81:$T$135,19,FALSE),0)</f>
        <v>29480</v>
      </c>
      <c r="U25" s="49">
        <f t="shared" ref="U25:U50" si="42">IFERROR(VLOOKUP($B25,$B$81:$U$135,20,FALSE),0)</f>
        <v>39461</v>
      </c>
      <c r="V25" s="49">
        <f t="shared" ref="V25:V50" si="43">SUM(C25:U25)</f>
        <v>10158812</v>
      </c>
      <c r="W25" s="49">
        <f t="shared" ref="W25:W50" si="44">IFERROR(VLOOKUP($B25,$B$81:$W$135,22,FALSE),0)</f>
        <v>14347235</v>
      </c>
      <c r="X25" s="50">
        <f t="shared" si="22"/>
        <v>-4188423</v>
      </c>
      <c r="Y25" s="48">
        <f t="shared" si="10"/>
        <v>-0.29193241764005401</v>
      </c>
      <c r="Z25" s="48"/>
    </row>
    <row r="26" spans="2:26" ht="12" customHeight="1" x14ac:dyDescent="0.25">
      <c r="B26" s="44" t="s">
        <v>38</v>
      </c>
      <c r="C26" s="49">
        <f t="shared" si="24"/>
        <v>0</v>
      </c>
      <c r="D26" s="49">
        <f t="shared" si="25"/>
        <v>0</v>
      </c>
      <c r="E26" s="49">
        <f t="shared" si="26"/>
        <v>0</v>
      </c>
      <c r="F26" s="49">
        <f t="shared" si="27"/>
        <v>0</v>
      </c>
      <c r="G26" s="49">
        <f t="shared" si="28"/>
        <v>0</v>
      </c>
      <c r="H26" s="49">
        <f t="shared" si="29"/>
        <v>0</v>
      </c>
      <c r="I26" s="49">
        <f t="shared" si="30"/>
        <v>0</v>
      </c>
      <c r="J26" s="49">
        <f t="shared" si="31"/>
        <v>1820000</v>
      </c>
      <c r="K26" s="49">
        <f t="shared" si="32"/>
        <v>0</v>
      </c>
      <c r="L26" s="49">
        <f t="shared" si="33"/>
        <v>0</v>
      </c>
      <c r="M26" s="49">
        <f t="shared" si="34"/>
        <v>0</v>
      </c>
      <c r="N26" s="49">
        <f t="shared" si="35"/>
        <v>0</v>
      </c>
      <c r="O26" s="49">
        <f t="shared" si="36"/>
        <v>0</v>
      </c>
      <c r="P26" s="49">
        <f t="shared" si="37"/>
        <v>0</v>
      </c>
      <c r="Q26" s="49">
        <f t="shared" si="38"/>
        <v>0</v>
      </c>
      <c r="R26" s="49">
        <f t="shared" si="39"/>
        <v>0</v>
      </c>
      <c r="S26" s="49">
        <f t="shared" si="40"/>
        <v>0</v>
      </c>
      <c r="T26" s="49">
        <f t="shared" si="41"/>
        <v>0</v>
      </c>
      <c r="U26" s="49">
        <f t="shared" si="42"/>
        <v>0</v>
      </c>
      <c r="V26" s="49">
        <f t="shared" si="43"/>
        <v>1820000</v>
      </c>
      <c r="W26" s="49">
        <f t="shared" si="44"/>
        <v>1700000</v>
      </c>
      <c r="X26" s="50">
        <f t="shared" si="22"/>
        <v>120000</v>
      </c>
      <c r="Y26" s="48">
        <f t="shared" si="10"/>
        <v>7.0588235294117646E-2</v>
      </c>
      <c r="Z26" s="48"/>
    </row>
    <row r="27" spans="2:26" ht="12" customHeight="1" x14ac:dyDescent="0.25">
      <c r="B27" s="44" t="s">
        <v>39</v>
      </c>
      <c r="C27" s="49">
        <f t="shared" si="24"/>
        <v>0</v>
      </c>
      <c r="D27" s="49">
        <f t="shared" si="25"/>
        <v>0</v>
      </c>
      <c r="E27" s="49">
        <f t="shared" si="26"/>
        <v>0</v>
      </c>
      <c r="F27" s="49">
        <f t="shared" si="27"/>
        <v>0</v>
      </c>
      <c r="G27" s="49">
        <f t="shared" si="28"/>
        <v>0</v>
      </c>
      <c r="H27" s="49">
        <f t="shared" si="29"/>
        <v>0</v>
      </c>
      <c r="I27" s="49">
        <f t="shared" si="30"/>
        <v>102281</v>
      </c>
      <c r="J27" s="49">
        <f t="shared" si="31"/>
        <v>0</v>
      </c>
      <c r="K27" s="49">
        <f t="shared" si="32"/>
        <v>0</v>
      </c>
      <c r="L27" s="49">
        <f t="shared" si="33"/>
        <v>0</v>
      </c>
      <c r="M27" s="49">
        <f t="shared" si="34"/>
        <v>0</v>
      </c>
      <c r="N27" s="49">
        <f t="shared" si="35"/>
        <v>0</v>
      </c>
      <c r="O27" s="49">
        <f t="shared" si="36"/>
        <v>0</v>
      </c>
      <c r="P27" s="49">
        <f t="shared" si="37"/>
        <v>0</v>
      </c>
      <c r="Q27" s="49">
        <f t="shared" si="38"/>
        <v>0</v>
      </c>
      <c r="R27" s="49">
        <f t="shared" si="39"/>
        <v>0</v>
      </c>
      <c r="S27" s="49">
        <f t="shared" si="40"/>
        <v>0</v>
      </c>
      <c r="T27" s="49">
        <f t="shared" si="41"/>
        <v>0</v>
      </c>
      <c r="U27" s="49">
        <f t="shared" si="42"/>
        <v>0</v>
      </c>
      <c r="V27" s="49">
        <f t="shared" si="43"/>
        <v>102281</v>
      </c>
      <c r="W27" s="49">
        <f t="shared" si="44"/>
        <v>100891</v>
      </c>
      <c r="X27" s="50">
        <f t="shared" si="22"/>
        <v>1390</v>
      </c>
      <c r="Y27" s="48">
        <f t="shared" si="10"/>
        <v>1.3777244749283881E-2</v>
      </c>
      <c r="Z27" s="48"/>
    </row>
    <row r="28" spans="2:26" ht="12" customHeight="1" x14ac:dyDescent="0.25">
      <c r="B28" s="44" t="s">
        <v>40</v>
      </c>
      <c r="C28" s="49">
        <f t="shared" si="24"/>
        <v>0</v>
      </c>
      <c r="D28" s="49">
        <f t="shared" si="25"/>
        <v>0</v>
      </c>
      <c r="E28" s="49">
        <f t="shared" si="26"/>
        <v>300000</v>
      </c>
      <c r="F28" s="49">
        <f t="shared" si="27"/>
        <v>0</v>
      </c>
      <c r="G28" s="49">
        <f t="shared" si="28"/>
        <v>0</v>
      </c>
      <c r="H28" s="49">
        <f t="shared" si="29"/>
        <v>0</v>
      </c>
      <c r="I28" s="49">
        <f t="shared" si="30"/>
        <v>0</v>
      </c>
      <c r="J28" s="49">
        <f t="shared" si="31"/>
        <v>0</v>
      </c>
      <c r="K28" s="49">
        <f t="shared" si="32"/>
        <v>0</v>
      </c>
      <c r="L28" s="49">
        <f t="shared" si="33"/>
        <v>0</v>
      </c>
      <c r="M28" s="49">
        <f t="shared" si="34"/>
        <v>0</v>
      </c>
      <c r="N28" s="49">
        <f t="shared" si="35"/>
        <v>0</v>
      </c>
      <c r="O28" s="49">
        <f t="shared" si="36"/>
        <v>0</v>
      </c>
      <c r="P28" s="49">
        <f t="shared" si="37"/>
        <v>0</v>
      </c>
      <c r="Q28" s="49">
        <f t="shared" si="38"/>
        <v>0</v>
      </c>
      <c r="R28" s="49">
        <f t="shared" si="39"/>
        <v>0</v>
      </c>
      <c r="S28" s="49">
        <f t="shared" si="40"/>
        <v>0</v>
      </c>
      <c r="T28" s="49">
        <f t="shared" si="41"/>
        <v>0</v>
      </c>
      <c r="U28" s="49">
        <f t="shared" si="42"/>
        <v>0</v>
      </c>
      <c r="V28" s="49">
        <f t="shared" si="43"/>
        <v>300000</v>
      </c>
      <c r="W28" s="49">
        <f t="shared" si="44"/>
        <v>360000</v>
      </c>
      <c r="X28" s="50">
        <f t="shared" si="22"/>
        <v>-60000</v>
      </c>
      <c r="Y28" s="48">
        <f t="shared" si="10"/>
        <v>-0.16666666666666666</v>
      </c>
      <c r="Z28" s="48"/>
    </row>
    <row r="29" spans="2:26" ht="12" customHeight="1" x14ac:dyDescent="0.25">
      <c r="B29" s="44" t="s">
        <v>43</v>
      </c>
      <c r="C29" s="49">
        <f t="shared" si="24"/>
        <v>0</v>
      </c>
      <c r="D29" s="49">
        <f t="shared" si="25"/>
        <v>0</v>
      </c>
      <c r="E29" s="49">
        <f t="shared" si="26"/>
        <v>0</v>
      </c>
      <c r="F29" s="49">
        <f t="shared" si="27"/>
        <v>0</v>
      </c>
      <c r="G29" s="49">
        <f t="shared" si="28"/>
        <v>620000</v>
      </c>
      <c r="H29" s="49">
        <f t="shared" si="29"/>
        <v>0</v>
      </c>
      <c r="I29" s="49">
        <f t="shared" si="30"/>
        <v>0</v>
      </c>
      <c r="J29" s="49">
        <f t="shared" si="31"/>
        <v>0</v>
      </c>
      <c r="K29" s="49">
        <f t="shared" si="32"/>
        <v>0</v>
      </c>
      <c r="L29" s="49">
        <f t="shared" si="33"/>
        <v>0</v>
      </c>
      <c r="M29" s="49">
        <f t="shared" si="34"/>
        <v>0</v>
      </c>
      <c r="N29" s="49">
        <f t="shared" si="35"/>
        <v>0</v>
      </c>
      <c r="O29" s="49">
        <f t="shared" si="36"/>
        <v>0</v>
      </c>
      <c r="P29" s="49">
        <f t="shared" si="37"/>
        <v>0</v>
      </c>
      <c r="Q29" s="49">
        <f t="shared" si="38"/>
        <v>0</v>
      </c>
      <c r="R29" s="49">
        <f t="shared" si="39"/>
        <v>0</v>
      </c>
      <c r="S29" s="49">
        <f t="shared" si="40"/>
        <v>0</v>
      </c>
      <c r="T29" s="49">
        <f t="shared" si="41"/>
        <v>0</v>
      </c>
      <c r="U29" s="49">
        <f t="shared" si="42"/>
        <v>0</v>
      </c>
      <c r="V29" s="49">
        <f t="shared" si="43"/>
        <v>620000</v>
      </c>
      <c r="W29" s="49">
        <f t="shared" si="44"/>
        <v>870000</v>
      </c>
      <c r="X29" s="50">
        <f t="shared" si="22"/>
        <v>-250000</v>
      </c>
      <c r="Y29" s="48">
        <f t="shared" si="10"/>
        <v>-0.28735632183908044</v>
      </c>
      <c r="Z29" s="48"/>
    </row>
    <row r="30" spans="2:26" ht="12" customHeight="1" x14ac:dyDescent="0.25">
      <c r="B30" s="44" t="s">
        <v>44</v>
      </c>
      <c r="C30" s="49">
        <f t="shared" si="24"/>
        <v>0</v>
      </c>
      <c r="D30" s="49">
        <f t="shared" si="25"/>
        <v>0</v>
      </c>
      <c r="E30" s="49">
        <f t="shared" si="26"/>
        <v>0</v>
      </c>
      <c r="F30" s="49">
        <f t="shared" si="27"/>
        <v>0</v>
      </c>
      <c r="G30" s="49">
        <f t="shared" si="28"/>
        <v>0</v>
      </c>
      <c r="H30" s="49">
        <f t="shared" si="29"/>
        <v>0</v>
      </c>
      <c r="I30" s="49">
        <f t="shared" si="30"/>
        <v>0</v>
      </c>
      <c r="J30" s="49">
        <f t="shared" si="31"/>
        <v>0</v>
      </c>
      <c r="K30" s="49">
        <f t="shared" si="32"/>
        <v>0</v>
      </c>
      <c r="L30" s="49">
        <f t="shared" si="33"/>
        <v>0</v>
      </c>
      <c r="M30" s="49">
        <f t="shared" si="34"/>
        <v>0</v>
      </c>
      <c r="N30" s="49">
        <f t="shared" si="35"/>
        <v>0</v>
      </c>
      <c r="O30" s="49">
        <f t="shared" si="36"/>
        <v>0</v>
      </c>
      <c r="P30" s="49">
        <f t="shared" si="37"/>
        <v>0</v>
      </c>
      <c r="Q30" s="49">
        <f t="shared" si="38"/>
        <v>0</v>
      </c>
      <c r="R30" s="49">
        <f t="shared" si="39"/>
        <v>0</v>
      </c>
      <c r="S30" s="49">
        <f t="shared" si="40"/>
        <v>0</v>
      </c>
      <c r="T30" s="49">
        <f t="shared" si="41"/>
        <v>0</v>
      </c>
      <c r="U30" s="49">
        <f t="shared" si="42"/>
        <v>5602076</v>
      </c>
      <c r="V30" s="49">
        <f t="shared" si="43"/>
        <v>5602076</v>
      </c>
      <c r="W30" s="49">
        <f t="shared" si="44"/>
        <v>4876351</v>
      </c>
      <c r="X30" s="50">
        <f t="shared" si="22"/>
        <v>725725</v>
      </c>
      <c r="Y30" s="48">
        <f t="shared" si="10"/>
        <v>0.14882542294432866</v>
      </c>
      <c r="Z30" s="48"/>
    </row>
    <row r="31" spans="2:26" ht="12" customHeight="1" x14ac:dyDescent="0.25">
      <c r="B31" s="44" t="s">
        <v>45</v>
      </c>
      <c r="C31" s="49">
        <f t="shared" si="24"/>
        <v>0</v>
      </c>
      <c r="D31" s="49">
        <f t="shared" si="25"/>
        <v>0</v>
      </c>
      <c r="E31" s="49">
        <f t="shared" si="26"/>
        <v>0</v>
      </c>
      <c r="F31" s="49">
        <f t="shared" si="27"/>
        <v>0</v>
      </c>
      <c r="G31" s="49">
        <f t="shared" si="28"/>
        <v>0</v>
      </c>
      <c r="H31" s="49">
        <f t="shared" si="29"/>
        <v>0</v>
      </c>
      <c r="I31" s="49">
        <f t="shared" si="30"/>
        <v>0</v>
      </c>
      <c r="J31" s="49">
        <f t="shared" si="31"/>
        <v>0</v>
      </c>
      <c r="K31" s="49">
        <f t="shared" si="32"/>
        <v>0</v>
      </c>
      <c r="L31" s="49">
        <f t="shared" si="33"/>
        <v>0</v>
      </c>
      <c r="M31" s="49">
        <f t="shared" si="34"/>
        <v>0</v>
      </c>
      <c r="N31" s="49">
        <f t="shared" si="35"/>
        <v>0</v>
      </c>
      <c r="O31" s="49">
        <f t="shared" si="36"/>
        <v>0</v>
      </c>
      <c r="P31" s="49">
        <f t="shared" si="37"/>
        <v>19503</v>
      </c>
      <c r="Q31" s="49">
        <f t="shared" si="38"/>
        <v>0</v>
      </c>
      <c r="R31" s="49">
        <f t="shared" si="39"/>
        <v>0</v>
      </c>
      <c r="S31" s="49">
        <f t="shared" si="40"/>
        <v>0</v>
      </c>
      <c r="T31" s="49">
        <f t="shared" si="41"/>
        <v>0</v>
      </c>
      <c r="U31" s="49">
        <f t="shared" si="42"/>
        <v>0</v>
      </c>
      <c r="V31" s="49">
        <f t="shared" si="43"/>
        <v>19503</v>
      </c>
      <c r="W31" s="49">
        <f t="shared" si="44"/>
        <v>19592</v>
      </c>
      <c r="X31" s="50">
        <f t="shared" si="22"/>
        <v>-89</v>
      </c>
      <c r="Y31" s="48">
        <f t="shared" si="10"/>
        <v>-4.5426704777460185E-3</v>
      </c>
      <c r="Z31" s="48"/>
    </row>
    <row r="32" spans="2:26" ht="12" customHeight="1" x14ac:dyDescent="0.25">
      <c r="B32" s="44" t="s">
        <v>46</v>
      </c>
      <c r="C32" s="49">
        <f t="shared" si="24"/>
        <v>0</v>
      </c>
      <c r="D32" s="49">
        <f t="shared" si="25"/>
        <v>0</v>
      </c>
      <c r="E32" s="49">
        <f t="shared" si="26"/>
        <v>0</v>
      </c>
      <c r="F32" s="49">
        <f t="shared" si="27"/>
        <v>0</v>
      </c>
      <c r="G32" s="49">
        <f t="shared" si="28"/>
        <v>0</v>
      </c>
      <c r="H32" s="49">
        <f t="shared" si="29"/>
        <v>0</v>
      </c>
      <c r="I32" s="49">
        <f t="shared" si="30"/>
        <v>0</v>
      </c>
      <c r="J32" s="49">
        <f t="shared" si="31"/>
        <v>0</v>
      </c>
      <c r="K32" s="49">
        <f t="shared" si="32"/>
        <v>0</v>
      </c>
      <c r="L32" s="49">
        <f t="shared" si="33"/>
        <v>0</v>
      </c>
      <c r="M32" s="49">
        <f t="shared" si="34"/>
        <v>0</v>
      </c>
      <c r="N32" s="49">
        <f t="shared" si="35"/>
        <v>0</v>
      </c>
      <c r="O32" s="49">
        <f t="shared" si="36"/>
        <v>0</v>
      </c>
      <c r="P32" s="49">
        <f t="shared" si="37"/>
        <v>0</v>
      </c>
      <c r="Q32" s="49">
        <f t="shared" si="38"/>
        <v>4196611</v>
      </c>
      <c r="R32" s="49">
        <f t="shared" si="39"/>
        <v>7353917</v>
      </c>
      <c r="S32" s="49">
        <f t="shared" si="40"/>
        <v>0</v>
      </c>
      <c r="T32" s="49">
        <f t="shared" si="41"/>
        <v>0</v>
      </c>
      <c r="U32" s="49">
        <f t="shared" si="42"/>
        <v>4525</v>
      </c>
      <c r="V32" s="49">
        <f t="shared" si="43"/>
        <v>11555053</v>
      </c>
      <c r="W32" s="49">
        <f t="shared" si="44"/>
        <v>11885519</v>
      </c>
      <c r="X32" s="50">
        <f t="shared" si="22"/>
        <v>-330466</v>
      </c>
      <c r="Y32" s="48">
        <f t="shared" si="10"/>
        <v>-2.780408663685616E-2</v>
      </c>
      <c r="Z32" s="48"/>
    </row>
    <row r="33" spans="2:26" ht="12" customHeight="1" x14ac:dyDescent="0.25">
      <c r="B33" s="44" t="s">
        <v>54</v>
      </c>
      <c r="C33" s="49">
        <f t="shared" si="24"/>
        <v>0</v>
      </c>
      <c r="D33" s="49">
        <f t="shared" si="25"/>
        <v>0</v>
      </c>
      <c r="E33" s="49">
        <f t="shared" si="26"/>
        <v>0</v>
      </c>
      <c r="F33" s="49">
        <f t="shared" si="27"/>
        <v>0</v>
      </c>
      <c r="G33" s="49">
        <f t="shared" si="28"/>
        <v>0</v>
      </c>
      <c r="H33" s="49">
        <f t="shared" si="29"/>
        <v>0</v>
      </c>
      <c r="I33" s="49">
        <f t="shared" si="30"/>
        <v>0</v>
      </c>
      <c r="J33" s="49">
        <f t="shared" si="31"/>
        <v>0</v>
      </c>
      <c r="K33" s="49">
        <f t="shared" si="32"/>
        <v>0</v>
      </c>
      <c r="L33" s="49">
        <f t="shared" si="33"/>
        <v>0</v>
      </c>
      <c r="M33" s="49">
        <f t="shared" si="34"/>
        <v>0</v>
      </c>
      <c r="N33" s="49">
        <f t="shared" si="35"/>
        <v>0</v>
      </c>
      <c r="O33" s="49">
        <f t="shared" si="36"/>
        <v>0</v>
      </c>
      <c r="P33" s="49">
        <f t="shared" si="37"/>
        <v>36042</v>
      </c>
      <c r="Q33" s="49">
        <f t="shared" si="38"/>
        <v>0</v>
      </c>
      <c r="R33" s="49">
        <f t="shared" si="39"/>
        <v>0</v>
      </c>
      <c r="S33" s="49">
        <f t="shared" si="40"/>
        <v>0</v>
      </c>
      <c r="T33" s="49">
        <f t="shared" si="41"/>
        <v>0</v>
      </c>
      <c r="U33" s="49">
        <f t="shared" si="42"/>
        <v>0</v>
      </c>
      <c r="V33" s="49">
        <f t="shared" si="43"/>
        <v>36042</v>
      </c>
      <c r="W33" s="49">
        <f t="shared" si="44"/>
        <v>41191</v>
      </c>
      <c r="X33" s="50">
        <f t="shared" si="22"/>
        <v>-5149</v>
      </c>
      <c r="Y33" s="48">
        <f t="shared" si="10"/>
        <v>-0.12500303464349008</v>
      </c>
      <c r="Z33" s="48"/>
    </row>
    <row r="34" spans="2:26" ht="12" customHeight="1" x14ac:dyDescent="0.25">
      <c r="B34" s="44" t="s">
        <v>56</v>
      </c>
      <c r="C34" s="49">
        <f t="shared" si="24"/>
        <v>0</v>
      </c>
      <c r="D34" s="49">
        <f t="shared" si="25"/>
        <v>0</v>
      </c>
      <c r="E34" s="49">
        <f t="shared" si="26"/>
        <v>0</v>
      </c>
      <c r="F34" s="49">
        <f t="shared" si="27"/>
        <v>0</v>
      </c>
      <c r="G34" s="49">
        <f t="shared" si="28"/>
        <v>0</v>
      </c>
      <c r="H34" s="49">
        <f t="shared" si="29"/>
        <v>0</v>
      </c>
      <c r="I34" s="49">
        <f t="shared" si="30"/>
        <v>0</v>
      </c>
      <c r="J34" s="49">
        <f t="shared" si="31"/>
        <v>0</v>
      </c>
      <c r="K34" s="49">
        <f t="shared" si="32"/>
        <v>0</v>
      </c>
      <c r="L34" s="49">
        <f t="shared" si="33"/>
        <v>0</v>
      </c>
      <c r="M34" s="49">
        <f t="shared" si="34"/>
        <v>0</v>
      </c>
      <c r="N34" s="49">
        <f t="shared" si="35"/>
        <v>0</v>
      </c>
      <c r="O34" s="49">
        <f t="shared" si="36"/>
        <v>0</v>
      </c>
      <c r="P34" s="49">
        <f t="shared" si="37"/>
        <v>0</v>
      </c>
      <c r="Q34" s="49">
        <f t="shared" si="38"/>
        <v>0</v>
      </c>
      <c r="R34" s="49">
        <f t="shared" si="39"/>
        <v>0</v>
      </c>
      <c r="S34" s="49">
        <f t="shared" si="40"/>
        <v>0</v>
      </c>
      <c r="T34" s="49">
        <f t="shared" si="41"/>
        <v>0</v>
      </c>
      <c r="U34" s="49">
        <f t="shared" si="42"/>
        <v>1448637</v>
      </c>
      <c r="V34" s="49">
        <f t="shared" si="43"/>
        <v>1448637</v>
      </c>
      <c r="W34" s="49">
        <f t="shared" si="44"/>
        <v>1281853</v>
      </c>
      <c r="X34" s="50">
        <f t="shared" si="22"/>
        <v>166784</v>
      </c>
      <c r="Y34" s="48">
        <f t="shared" si="10"/>
        <v>0.13011164306671669</v>
      </c>
      <c r="Z34" s="48"/>
    </row>
    <row r="35" spans="2:26" ht="12" customHeight="1" x14ac:dyDescent="0.25">
      <c r="B35" s="44" t="s">
        <v>58</v>
      </c>
      <c r="C35" s="49">
        <f t="shared" si="24"/>
        <v>0</v>
      </c>
      <c r="D35" s="49">
        <f t="shared" si="25"/>
        <v>0</v>
      </c>
      <c r="E35" s="49">
        <f t="shared" si="26"/>
        <v>0</v>
      </c>
      <c r="F35" s="49">
        <f t="shared" si="27"/>
        <v>0</v>
      </c>
      <c r="G35" s="49">
        <f t="shared" si="28"/>
        <v>0</v>
      </c>
      <c r="H35" s="49">
        <f t="shared" si="29"/>
        <v>0</v>
      </c>
      <c r="I35" s="49">
        <f t="shared" si="30"/>
        <v>0</v>
      </c>
      <c r="J35" s="49">
        <f t="shared" si="31"/>
        <v>0</v>
      </c>
      <c r="K35" s="49">
        <f t="shared" si="32"/>
        <v>0</v>
      </c>
      <c r="L35" s="49">
        <f t="shared" si="33"/>
        <v>0</v>
      </c>
      <c r="M35" s="49">
        <f t="shared" si="34"/>
        <v>0</v>
      </c>
      <c r="N35" s="49">
        <f t="shared" si="35"/>
        <v>0</v>
      </c>
      <c r="O35" s="49">
        <f t="shared" si="36"/>
        <v>0</v>
      </c>
      <c r="P35" s="49">
        <f t="shared" si="37"/>
        <v>0</v>
      </c>
      <c r="Q35" s="49">
        <f t="shared" si="38"/>
        <v>838078</v>
      </c>
      <c r="R35" s="49">
        <f t="shared" si="39"/>
        <v>0</v>
      </c>
      <c r="S35" s="49">
        <f t="shared" si="40"/>
        <v>0</v>
      </c>
      <c r="T35" s="49">
        <f t="shared" si="41"/>
        <v>0</v>
      </c>
      <c r="U35" s="49">
        <f t="shared" si="42"/>
        <v>0</v>
      </c>
      <c r="V35" s="49">
        <f t="shared" si="43"/>
        <v>838078</v>
      </c>
      <c r="W35" s="49">
        <f t="shared" si="44"/>
        <v>848181</v>
      </c>
      <c r="X35" s="50">
        <f t="shared" si="22"/>
        <v>-10103</v>
      </c>
      <c r="Y35" s="48">
        <f t="shared" si="10"/>
        <v>-1.1911372690498844E-2</v>
      </c>
      <c r="Z35" s="48"/>
    </row>
    <row r="36" spans="2:26" ht="12" customHeight="1" x14ac:dyDescent="0.25">
      <c r="B36" s="44" t="s">
        <v>60</v>
      </c>
      <c r="C36" s="49">
        <f t="shared" si="24"/>
        <v>0</v>
      </c>
      <c r="D36" s="49">
        <f t="shared" si="25"/>
        <v>0</v>
      </c>
      <c r="E36" s="49">
        <f t="shared" si="26"/>
        <v>0</v>
      </c>
      <c r="F36" s="49">
        <f t="shared" si="27"/>
        <v>0</v>
      </c>
      <c r="G36" s="49">
        <f t="shared" si="28"/>
        <v>0</v>
      </c>
      <c r="H36" s="49">
        <f t="shared" si="29"/>
        <v>0</v>
      </c>
      <c r="I36" s="49">
        <f t="shared" si="30"/>
        <v>0</v>
      </c>
      <c r="J36" s="49">
        <f t="shared" si="31"/>
        <v>0</v>
      </c>
      <c r="K36" s="49">
        <f t="shared" si="32"/>
        <v>0</v>
      </c>
      <c r="L36" s="49">
        <f t="shared" si="33"/>
        <v>0</v>
      </c>
      <c r="M36" s="49">
        <f t="shared" si="34"/>
        <v>0</v>
      </c>
      <c r="N36" s="49">
        <f t="shared" si="35"/>
        <v>0</v>
      </c>
      <c r="O36" s="49">
        <f t="shared" si="36"/>
        <v>0</v>
      </c>
      <c r="P36" s="49">
        <f t="shared" si="37"/>
        <v>0</v>
      </c>
      <c r="Q36" s="49">
        <f t="shared" si="38"/>
        <v>0</v>
      </c>
      <c r="R36" s="49">
        <f t="shared" si="39"/>
        <v>0</v>
      </c>
      <c r="S36" s="49">
        <f t="shared" si="40"/>
        <v>0</v>
      </c>
      <c r="T36" s="49">
        <f t="shared" si="41"/>
        <v>0</v>
      </c>
      <c r="U36" s="49">
        <f t="shared" si="42"/>
        <v>0</v>
      </c>
      <c r="V36" s="49">
        <f t="shared" si="43"/>
        <v>0</v>
      </c>
      <c r="W36" s="49">
        <f t="shared" si="44"/>
        <v>0</v>
      </c>
      <c r="X36" s="50">
        <f t="shared" si="22"/>
        <v>0</v>
      </c>
      <c r="Y36" s="48">
        <f t="shared" si="10"/>
        <v>1</v>
      </c>
      <c r="Z36" s="48"/>
    </row>
    <row r="37" spans="2:26" ht="12" customHeight="1" x14ac:dyDescent="0.25">
      <c r="B37" s="44" t="s">
        <v>59</v>
      </c>
      <c r="C37" s="49">
        <f t="shared" si="24"/>
        <v>0</v>
      </c>
      <c r="D37" s="49">
        <f t="shared" si="25"/>
        <v>0</v>
      </c>
      <c r="E37" s="49">
        <f t="shared" si="26"/>
        <v>0</v>
      </c>
      <c r="F37" s="49">
        <f t="shared" si="27"/>
        <v>0</v>
      </c>
      <c r="G37" s="49">
        <f t="shared" si="28"/>
        <v>0</v>
      </c>
      <c r="H37" s="49">
        <f t="shared" si="29"/>
        <v>130661</v>
      </c>
      <c r="I37" s="49">
        <f t="shared" si="30"/>
        <v>0</v>
      </c>
      <c r="J37" s="49">
        <f t="shared" si="31"/>
        <v>0</v>
      </c>
      <c r="K37" s="49">
        <f t="shared" si="32"/>
        <v>0</v>
      </c>
      <c r="L37" s="49">
        <f t="shared" si="33"/>
        <v>0</v>
      </c>
      <c r="M37" s="49">
        <f t="shared" si="34"/>
        <v>0</v>
      </c>
      <c r="N37" s="49">
        <f t="shared" si="35"/>
        <v>0</v>
      </c>
      <c r="O37" s="49">
        <f t="shared" si="36"/>
        <v>0</v>
      </c>
      <c r="P37" s="49">
        <f t="shared" si="37"/>
        <v>0</v>
      </c>
      <c r="Q37" s="49">
        <f t="shared" si="38"/>
        <v>0</v>
      </c>
      <c r="R37" s="49">
        <f t="shared" si="39"/>
        <v>0</v>
      </c>
      <c r="S37" s="49">
        <f t="shared" si="40"/>
        <v>0</v>
      </c>
      <c r="T37" s="49">
        <f t="shared" si="41"/>
        <v>0</v>
      </c>
      <c r="U37" s="49">
        <f t="shared" si="42"/>
        <v>0</v>
      </c>
      <c r="V37" s="49">
        <f t="shared" si="43"/>
        <v>130661</v>
      </c>
      <c r="W37" s="49">
        <f t="shared" si="44"/>
        <v>153380</v>
      </c>
      <c r="X37" s="50">
        <f t="shared" si="22"/>
        <v>-22719</v>
      </c>
      <c r="Y37" s="48">
        <f t="shared" si="10"/>
        <v>-0.14812231060112141</v>
      </c>
      <c r="Z37" s="48"/>
    </row>
    <row r="38" spans="2:26" ht="12" customHeight="1" x14ac:dyDescent="0.25">
      <c r="B38" s="44" t="s">
        <v>61</v>
      </c>
      <c r="C38" s="49">
        <f t="shared" si="24"/>
        <v>0</v>
      </c>
      <c r="D38" s="49">
        <f t="shared" si="25"/>
        <v>0</v>
      </c>
      <c r="E38" s="49">
        <f t="shared" si="26"/>
        <v>1100</v>
      </c>
      <c r="F38" s="49">
        <f t="shared" si="27"/>
        <v>0</v>
      </c>
      <c r="G38" s="49">
        <f t="shared" si="28"/>
        <v>0</v>
      </c>
      <c r="H38" s="49">
        <f t="shared" si="29"/>
        <v>0</v>
      </c>
      <c r="I38" s="49">
        <f t="shared" si="30"/>
        <v>339</v>
      </c>
      <c r="J38" s="49">
        <f t="shared" si="31"/>
        <v>0</v>
      </c>
      <c r="K38" s="49">
        <f t="shared" si="32"/>
        <v>5284</v>
      </c>
      <c r="L38" s="49">
        <f t="shared" si="33"/>
        <v>489800</v>
      </c>
      <c r="M38" s="49">
        <f t="shared" si="34"/>
        <v>0</v>
      </c>
      <c r="N38" s="49">
        <f t="shared" si="35"/>
        <v>0</v>
      </c>
      <c r="O38" s="49">
        <f t="shared" si="36"/>
        <v>0</v>
      </c>
      <c r="P38" s="49">
        <f t="shared" si="37"/>
        <v>5472</v>
      </c>
      <c r="Q38" s="49">
        <f t="shared" si="38"/>
        <v>0</v>
      </c>
      <c r="R38" s="49">
        <f t="shared" si="39"/>
        <v>8700</v>
      </c>
      <c r="S38" s="49">
        <f t="shared" si="40"/>
        <v>0</v>
      </c>
      <c r="T38" s="49">
        <f t="shared" si="41"/>
        <v>0</v>
      </c>
      <c r="U38" s="49">
        <f t="shared" si="42"/>
        <v>0</v>
      </c>
      <c r="V38" s="49">
        <f t="shared" si="43"/>
        <v>510695</v>
      </c>
      <c r="W38" s="49">
        <f t="shared" si="44"/>
        <v>486595</v>
      </c>
      <c r="X38" s="50">
        <f t="shared" si="22"/>
        <v>24100</v>
      </c>
      <c r="Y38" s="48">
        <f t="shared" si="10"/>
        <v>4.9527841428703541E-2</v>
      </c>
      <c r="Z38" s="48"/>
    </row>
    <row r="39" spans="2:26" ht="12" customHeight="1" x14ac:dyDescent="0.25">
      <c r="B39" s="44" t="s">
        <v>62</v>
      </c>
      <c r="C39" s="49">
        <f t="shared" si="24"/>
        <v>0</v>
      </c>
      <c r="D39" s="49">
        <f t="shared" si="25"/>
        <v>0</v>
      </c>
      <c r="E39" s="49">
        <f t="shared" si="26"/>
        <v>0</v>
      </c>
      <c r="F39" s="49">
        <f t="shared" si="27"/>
        <v>0</v>
      </c>
      <c r="G39" s="49">
        <f t="shared" si="28"/>
        <v>0</v>
      </c>
      <c r="H39" s="49">
        <f t="shared" si="29"/>
        <v>0</v>
      </c>
      <c r="I39" s="49">
        <f t="shared" si="30"/>
        <v>0</v>
      </c>
      <c r="J39" s="49">
        <f t="shared" si="31"/>
        <v>0</v>
      </c>
      <c r="K39" s="49">
        <f t="shared" si="32"/>
        <v>0</v>
      </c>
      <c r="L39" s="49">
        <f t="shared" si="33"/>
        <v>193050</v>
      </c>
      <c r="M39" s="49">
        <f t="shared" si="34"/>
        <v>0</v>
      </c>
      <c r="N39" s="49">
        <f t="shared" si="35"/>
        <v>0</v>
      </c>
      <c r="O39" s="49">
        <f t="shared" si="36"/>
        <v>0</v>
      </c>
      <c r="P39" s="49">
        <f t="shared" si="37"/>
        <v>0</v>
      </c>
      <c r="Q39" s="49">
        <f t="shared" si="38"/>
        <v>0</v>
      </c>
      <c r="R39" s="49">
        <f t="shared" si="39"/>
        <v>0</v>
      </c>
      <c r="S39" s="49">
        <f t="shared" si="40"/>
        <v>0</v>
      </c>
      <c r="T39" s="49">
        <f t="shared" si="41"/>
        <v>0</v>
      </c>
      <c r="U39" s="49">
        <f t="shared" si="42"/>
        <v>0</v>
      </c>
      <c r="V39" s="49">
        <f t="shared" si="43"/>
        <v>193050</v>
      </c>
      <c r="W39" s="49">
        <f t="shared" si="44"/>
        <v>175500</v>
      </c>
      <c r="X39" s="50">
        <f t="shared" si="22"/>
        <v>17550</v>
      </c>
      <c r="Y39" s="48">
        <f t="shared" si="10"/>
        <v>0.1</v>
      </c>
      <c r="Z39" s="48"/>
    </row>
    <row r="40" spans="2:26" ht="12" customHeight="1" x14ac:dyDescent="0.25">
      <c r="B40" s="44" t="s">
        <v>63</v>
      </c>
      <c r="C40" s="49">
        <f t="shared" si="24"/>
        <v>11666</v>
      </c>
      <c r="D40" s="49">
        <f t="shared" si="25"/>
        <v>0</v>
      </c>
      <c r="E40" s="49">
        <f t="shared" si="26"/>
        <v>0</v>
      </c>
      <c r="F40" s="49">
        <f t="shared" si="27"/>
        <v>260</v>
      </c>
      <c r="G40" s="49">
        <f t="shared" si="28"/>
        <v>0</v>
      </c>
      <c r="H40" s="49">
        <f t="shared" si="29"/>
        <v>66370</v>
      </c>
      <c r="I40" s="49">
        <f t="shared" si="30"/>
        <v>0</v>
      </c>
      <c r="J40" s="49">
        <f t="shared" si="31"/>
        <v>0</v>
      </c>
      <c r="K40" s="49">
        <f t="shared" si="32"/>
        <v>56783</v>
      </c>
      <c r="L40" s="49">
        <f t="shared" si="33"/>
        <v>322389</v>
      </c>
      <c r="M40" s="49">
        <f t="shared" si="34"/>
        <v>0</v>
      </c>
      <c r="N40" s="49">
        <f t="shared" si="35"/>
        <v>17399</v>
      </c>
      <c r="O40" s="49">
        <f t="shared" si="36"/>
        <v>0</v>
      </c>
      <c r="P40" s="49">
        <f t="shared" si="37"/>
        <v>0</v>
      </c>
      <c r="Q40" s="49">
        <f t="shared" si="38"/>
        <v>0</v>
      </c>
      <c r="R40" s="49">
        <f t="shared" si="39"/>
        <v>0</v>
      </c>
      <c r="S40" s="49">
        <f t="shared" si="40"/>
        <v>0</v>
      </c>
      <c r="T40" s="49">
        <f t="shared" si="41"/>
        <v>0</v>
      </c>
      <c r="U40" s="49">
        <f t="shared" si="42"/>
        <v>6610</v>
      </c>
      <c r="V40" s="49">
        <f t="shared" si="43"/>
        <v>481477</v>
      </c>
      <c r="W40" s="49">
        <f t="shared" si="44"/>
        <v>637835</v>
      </c>
      <c r="X40" s="50">
        <f t="shared" si="22"/>
        <v>-156358</v>
      </c>
      <c r="Y40" s="48">
        <f>IF(W40=0,100%,X40/W40)</f>
        <v>-0.24513863303205374</v>
      </c>
      <c r="Z40" s="48"/>
    </row>
    <row r="41" spans="2:26" ht="12" customHeight="1" x14ac:dyDescent="0.25">
      <c r="B41" s="44" t="s">
        <v>64</v>
      </c>
      <c r="C41" s="49">
        <f t="shared" si="24"/>
        <v>0</v>
      </c>
      <c r="D41" s="49">
        <f t="shared" si="25"/>
        <v>0</v>
      </c>
      <c r="E41" s="49">
        <f t="shared" si="26"/>
        <v>0</v>
      </c>
      <c r="F41" s="49">
        <f t="shared" si="27"/>
        <v>0</v>
      </c>
      <c r="G41" s="49">
        <f t="shared" si="28"/>
        <v>0</v>
      </c>
      <c r="H41" s="49">
        <f t="shared" si="29"/>
        <v>0</v>
      </c>
      <c r="I41" s="49">
        <f t="shared" si="30"/>
        <v>0</v>
      </c>
      <c r="J41" s="49">
        <f t="shared" si="31"/>
        <v>0</v>
      </c>
      <c r="K41" s="49">
        <f t="shared" si="32"/>
        <v>0</v>
      </c>
      <c r="L41" s="49">
        <f t="shared" si="33"/>
        <v>1500</v>
      </c>
      <c r="M41" s="49">
        <f t="shared" si="34"/>
        <v>0</v>
      </c>
      <c r="N41" s="49">
        <f t="shared" si="35"/>
        <v>0</v>
      </c>
      <c r="O41" s="49">
        <f t="shared" si="36"/>
        <v>0</v>
      </c>
      <c r="P41" s="49">
        <f t="shared" si="37"/>
        <v>0</v>
      </c>
      <c r="Q41" s="49">
        <f t="shared" si="38"/>
        <v>0</v>
      </c>
      <c r="R41" s="49">
        <f t="shared" si="39"/>
        <v>0</v>
      </c>
      <c r="S41" s="49">
        <f t="shared" si="40"/>
        <v>0</v>
      </c>
      <c r="T41" s="49">
        <f t="shared" si="41"/>
        <v>0</v>
      </c>
      <c r="U41" s="49">
        <f t="shared" si="42"/>
        <v>0</v>
      </c>
      <c r="V41" s="49">
        <f t="shared" si="43"/>
        <v>1500</v>
      </c>
      <c r="W41" s="49">
        <f t="shared" si="44"/>
        <v>0</v>
      </c>
      <c r="X41" s="50">
        <f t="shared" si="22"/>
        <v>1500</v>
      </c>
      <c r="Y41" s="48">
        <f>IF(W41=0,100%,X41/W41)</f>
        <v>1</v>
      </c>
      <c r="Z41" s="48"/>
    </row>
    <row r="42" spans="2:26" ht="12" customHeight="1" x14ac:dyDescent="0.25">
      <c r="B42" s="44" t="s">
        <v>76</v>
      </c>
      <c r="C42" s="49">
        <f t="shared" si="24"/>
        <v>201</v>
      </c>
      <c r="D42" s="49">
        <f t="shared" si="25"/>
        <v>1050</v>
      </c>
      <c r="E42" s="49">
        <f t="shared" si="26"/>
        <v>330</v>
      </c>
      <c r="F42" s="49">
        <f t="shared" si="27"/>
        <v>481</v>
      </c>
      <c r="G42" s="49">
        <f t="shared" si="28"/>
        <v>170</v>
      </c>
      <c r="H42" s="49">
        <f t="shared" si="29"/>
        <v>583</v>
      </c>
      <c r="I42" s="49">
        <f t="shared" si="30"/>
        <v>154</v>
      </c>
      <c r="J42" s="49">
        <f t="shared" si="31"/>
        <v>424</v>
      </c>
      <c r="K42" s="49">
        <f t="shared" si="32"/>
        <v>126</v>
      </c>
      <c r="L42" s="49">
        <f t="shared" si="33"/>
        <v>297</v>
      </c>
      <c r="M42" s="49">
        <f t="shared" si="34"/>
        <v>0</v>
      </c>
      <c r="N42" s="49">
        <f t="shared" si="35"/>
        <v>81</v>
      </c>
      <c r="O42" s="49">
        <f t="shared" si="36"/>
        <v>580</v>
      </c>
      <c r="P42" s="49">
        <f t="shared" si="37"/>
        <v>508</v>
      </c>
      <c r="Q42" s="49">
        <f t="shared" si="38"/>
        <v>0</v>
      </c>
      <c r="R42" s="49">
        <f t="shared" si="39"/>
        <v>300</v>
      </c>
      <c r="S42" s="49">
        <f t="shared" si="40"/>
        <v>166</v>
      </c>
      <c r="T42" s="49">
        <f t="shared" si="41"/>
        <v>404</v>
      </c>
      <c r="U42" s="49">
        <f t="shared" si="42"/>
        <v>266</v>
      </c>
      <c r="V42" s="49">
        <f t="shared" si="43"/>
        <v>6121</v>
      </c>
      <c r="W42" s="49">
        <f t="shared" si="44"/>
        <v>7804</v>
      </c>
      <c r="X42" s="50">
        <f t="shared" si="22"/>
        <v>-1683</v>
      </c>
      <c r="Y42" s="48">
        <f>IF(W42=0,100%,X42/W42)</f>
        <v>-0.21565863659661713</v>
      </c>
      <c r="Z42" s="48"/>
    </row>
    <row r="43" spans="2:26" ht="12" customHeight="1" x14ac:dyDescent="0.25">
      <c r="B43" s="44" t="s">
        <v>71</v>
      </c>
      <c r="C43" s="49">
        <f t="shared" si="24"/>
        <v>0</v>
      </c>
      <c r="D43" s="49">
        <f t="shared" si="25"/>
        <v>0</v>
      </c>
      <c r="E43" s="49">
        <f t="shared" si="26"/>
        <v>0</v>
      </c>
      <c r="F43" s="49">
        <f t="shared" si="27"/>
        <v>0</v>
      </c>
      <c r="G43" s="49">
        <f t="shared" si="28"/>
        <v>0</v>
      </c>
      <c r="H43" s="49">
        <f t="shared" si="29"/>
        <v>4714</v>
      </c>
      <c r="I43" s="49">
        <f t="shared" si="30"/>
        <v>0</v>
      </c>
      <c r="J43" s="49">
        <f t="shared" si="31"/>
        <v>0</v>
      </c>
      <c r="K43" s="49">
        <f t="shared" si="32"/>
        <v>0</v>
      </c>
      <c r="L43" s="49">
        <f t="shared" si="33"/>
        <v>0</v>
      </c>
      <c r="M43" s="49">
        <f t="shared" si="34"/>
        <v>0</v>
      </c>
      <c r="N43" s="49">
        <f t="shared" si="35"/>
        <v>0</v>
      </c>
      <c r="O43" s="49">
        <f t="shared" si="36"/>
        <v>0</v>
      </c>
      <c r="P43" s="49">
        <f t="shared" si="37"/>
        <v>5834399</v>
      </c>
      <c r="Q43" s="49">
        <f t="shared" si="38"/>
        <v>0</v>
      </c>
      <c r="R43" s="49">
        <f t="shared" si="39"/>
        <v>64800</v>
      </c>
      <c r="S43" s="49">
        <f t="shared" si="40"/>
        <v>0</v>
      </c>
      <c r="T43" s="49">
        <f t="shared" si="41"/>
        <v>0</v>
      </c>
      <c r="U43" s="49">
        <f t="shared" si="42"/>
        <v>0</v>
      </c>
      <c r="V43" s="49">
        <f t="shared" si="43"/>
        <v>5903913</v>
      </c>
      <c r="W43" s="49">
        <f t="shared" si="44"/>
        <v>4043786</v>
      </c>
      <c r="X43" s="50">
        <f t="shared" si="22"/>
        <v>1860127</v>
      </c>
      <c r="Y43" s="48">
        <f t="shared" si="10"/>
        <v>0.45999639941381665</v>
      </c>
      <c r="Z43" s="48"/>
    </row>
    <row r="44" spans="2:26" ht="12" customHeight="1" x14ac:dyDescent="0.25">
      <c r="B44" s="44" t="s">
        <v>79</v>
      </c>
      <c r="C44" s="49">
        <f t="shared" si="24"/>
        <v>0</v>
      </c>
      <c r="D44" s="49">
        <f t="shared" si="25"/>
        <v>0</v>
      </c>
      <c r="E44" s="49">
        <f t="shared" si="26"/>
        <v>0</v>
      </c>
      <c r="F44" s="49">
        <f t="shared" si="27"/>
        <v>0</v>
      </c>
      <c r="G44" s="49">
        <f t="shared" si="28"/>
        <v>0</v>
      </c>
      <c r="H44" s="49">
        <f t="shared" si="29"/>
        <v>0</v>
      </c>
      <c r="I44" s="49">
        <f t="shared" si="30"/>
        <v>0</v>
      </c>
      <c r="J44" s="49">
        <f t="shared" si="31"/>
        <v>0</v>
      </c>
      <c r="K44" s="49">
        <f t="shared" si="32"/>
        <v>0</v>
      </c>
      <c r="L44" s="49">
        <f t="shared" si="33"/>
        <v>0</v>
      </c>
      <c r="M44" s="49">
        <f t="shared" si="34"/>
        <v>0</v>
      </c>
      <c r="N44" s="49">
        <f t="shared" si="35"/>
        <v>0</v>
      </c>
      <c r="O44" s="49">
        <f t="shared" si="36"/>
        <v>0</v>
      </c>
      <c r="P44" s="49">
        <f t="shared" si="37"/>
        <v>0</v>
      </c>
      <c r="Q44" s="49">
        <f t="shared" si="38"/>
        <v>0</v>
      </c>
      <c r="R44" s="49">
        <f t="shared" si="39"/>
        <v>593000</v>
      </c>
      <c r="S44" s="49">
        <f t="shared" si="40"/>
        <v>0</v>
      </c>
      <c r="T44" s="49">
        <f t="shared" si="41"/>
        <v>0</v>
      </c>
      <c r="U44" s="49">
        <f t="shared" si="42"/>
        <v>0</v>
      </c>
      <c r="V44" s="49">
        <f t="shared" si="43"/>
        <v>593000</v>
      </c>
      <c r="W44" s="49">
        <f t="shared" si="44"/>
        <v>592864</v>
      </c>
      <c r="X44" s="50">
        <f t="shared" si="22"/>
        <v>136</v>
      </c>
      <c r="Y44" s="48">
        <f t="shared" si="10"/>
        <v>2.2939493711879959E-4</v>
      </c>
      <c r="Z44" s="48"/>
    </row>
    <row r="45" spans="2:26" ht="12" customHeight="1" x14ac:dyDescent="0.25">
      <c r="B45" s="44" t="s">
        <v>80</v>
      </c>
      <c r="C45" s="49">
        <f t="shared" si="24"/>
        <v>0</v>
      </c>
      <c r="D45" s="49">
        <f t="shared" si="25"/>
        <v>0</v>
      </c>
      <c r="E45" s="49">
        <f t="shared" si="26"/>
        <v>0</v>
      </c>
      <c r="F45" s="49">
        <f t="shared" si="27"/>
        <v>0</v>
      </c>
      <c r="G45" s="49">
        <f t="shared" si="28"/>
        <v>0</v>
      </c>
      <c r="H45" s="49">
        <f t="shared" si="29"/>
        <v>0</v>
      </c>
      <c r="I45" s="49">
        <f t="shared" si="30"/>
        <v>0</v>
      </c>
      <c r="J45" s="49">
        <f t="shared" si="31"/>
        <v>0</v>
      </c>
      <c r="K45" s="49">
        <f t="shared" si="32"/>
        <v>0</v>
      </c>
      <c r="L45" s="49">
        <f t="shared" si="33"/>
        <v>0</v>
      </c>
      <c r="M45" s="49">
        <f t="shared" si="34"/>
        <v>0</v>
      </c>
      <c r="N45" s="49">
        <f t="shared" si="35"/>
        <v>0</v>
      </c>
      <c r="O45" s="49">
        <f t="shared" si="36"/>
        <v>0</v>
      </c>
      <c r="P45" s="49">
        <f t="shared" si="37"/>
        <v>0</v>
      </c>
      <c r="Q45" s="49">
        <f t="shared" si="38"/>
        <v>0</v>
      </c>
      <c r="R45" s="49">
        <f t="shared" si="39"/>
        <v>70600</v>
      </c>
      <c r="S45" s="49">
        <f t="shared" si="40"/>
        <v>0</v>
      </c>
      <c r="T45" s="49">
        <f t="shared" si="41"/>
        <v>0</v>
      </c>
      <c r="U45" s="49">
        <f t="shared" si="42"/>
        <v>0</v>
      </c>
      <c r="V45" s="49">
        <f t="shared" si="43"/>
        <v>70600</v>
      </c>
      <c r="W45" s="49">
        <f t="shared" si="44"/>
        <v>70560</v>
      </c>
      <c r="X45" s="50">
        <f t="shared" si="22"/>
        <v>40</v>
      </c>
      <c r="Y45" s="48">
        <f t="shared" si="10"/>
        <v>5.6689342403628119E-4</v>
      </c>
      <c r="Z45" s="48"/>
    </row>
    <row r="46" spans="2:26" ht="12" customHeight="1" x14ac:dyDescent="0.25">
      <c r="B46" s="44" t="s">
        <v>81</v>
      </c>
      <c r="C46" s="49">
        <f t="shared" si="24"/>
        <v>0</v>
      </c>
      <c r="D46" s="49">
        <f t="shared" si="25"/>
        <v>0</v>
      </c>
      <c r="E46" s="49">
        <f t="shared" si="26"/>
        <v>0</v>
      </c>
      <c r="F46" s="49">
        <f t="shared" si="27"/>
        <v>0</v>
      </c>
      <c r="G46" s="49">
        <f t="shared" si="28"/>
        <v>0</v>
      </c>
      <c r="H46" s="49">
        <f t="shared" si="29"/>
        <v>0</v>
      </c>
      <c r="I46" s="49">
        <f t="shared" si="30"/>
        <v>0</v>
      </c>
      <c r="J46" s="49">
        <f t="shared" si="31"/>
        <v>0</v>
      </c>
      <c r="K46" s="49">
        <f t="shared" si="32"/>
        <v>0</v>
      </c>
      <c r="L46" s="49">
        <f t="shared" si="33"/>
        <v>0</v>
      </c>
      <c r="M46" s="49">
        <f t="shared" si="34"/>
        <v>0</v>
      </c>
      <c r="N46" s="49">
        <f t="shared" si="35"/>
        <v>0</v>
      </c>
      <c r="O46" s="49">
        <f t="shared" si="36"/>
        <v>0</v>
      </c>
      <c r="P46" s="49">
        <f t="shared" si="37"/>
        <v>0</v>
      </c>
      <c r="Q46" s="49">
        <f t="shared" si="38"/>
        <v>0</v>
      </c>
      <c r="R46" s="49">
        <f t="shared" si="39"/>
        <v>2100000</v>
      </c>
      <c r="S46" s="49">
        <f t="shared" si="40"/>
        <v>0</v>
      </c>
      <c r="T46" s="49">
        <f t="shared" si="41"/>
        <v>0</v>
      </c>
      <c r="U46" s="49">
        <f t="shared" si="42"/>
        <v>0</v>
      </c>
      <c r="V46" s="49">
        <f t="shared" si="43"/>
        <v>2100000</v>
      </c>
      <c r="W46" s="49">
        <f t="shared" si="44"/>
        <v>2092577</v>
      </c>
      <c r="X46" s="50">
        <f t="shared" si="22"/>
        <v>7423</v>
      </c>
      <c r="Y46" s="48">
        <f t="shared" si="10"/>
        <v>3.5473007683827166E-3</v>
      </c>
      <c r="Z46" s="48"/>
    </row>
    <row r="47" spans="2:26" ht="12" customHeight="1" x14ac:dyDescent="0.25">
      <c r="B47" s="44" t="s">
        <v>88</v>
      </c>
      <c r="C47" s="49">
        <f t="shared" si="24"/>
        <v>0</v>
      </c>
      <c r="D47" s="49">
        <f t="shared" si="25"/>
        <v>0</v>
      </c>
      <c r="E47" s="49">
        <f t="shared" si="26"/>
        <v>0</v>
      </c>
      <c r="F47" s="49">
        <f t="shared" si="27"/>
        <v>0</v>
      </c>
      <c r="G47" s="49">
        <f t="shared" si="28"/>
        <v>0</v>
      </c>
      <c r="H47" s="49">
        <f t="shared" si="29"/>
        <v>0</v>
      </c>
      <c r="I47" s="49">
        <f t="shared" si="30"/>
        <v>0</v>
      </c>
      <c r="J47" s="49">
        <f t="shared" si="31"/>
        <v>0</v>
      </c>
      <c r="K47" s="49">
        <f t="shared" si="32"/>
        <v>0</v>
      </c>
      <c r="L47" s="49">
        <f t="shared" si="33"/>
        <v>0</v>
      </c>
      <c r="M47" s="49">
        <f t="shared" si="34"/>
        <v>0</v>
      </c>
      <c r="N47" s="49">
        <f t="shared" si="35"/>
        <v>5000</v>
      </c>
      <c r="O47" s="49">
        <f t="shared" si="36"/>
        <v>0</v>
      </c>
      <c r="P47" s="49">
        <f t="shared" si="37"/>
        <v>0</v>
      </c>
      <c r="Q47" s="49">
        <f t="shared" si="38"/>
        <v>4987470</v>
      </c>
      <c r="R47" s="49">
        <f t="shared" si="39"/>
        <v>0</v>
      </c>
      <c r="S47" s="49">
        <f t="shared" si="40"/>
        <v>0</v>
      </c>
      <c r="T47" s="49">
        <f t="shared" si="41"/>
        <v>0</v>
      </c>
      <c r="U47" s="49">
        <f t="shared" si="42"/>
        <v>0</v>
      </c>
      <c r="V47" s="49">
        <f t="shared" si="43"/>
        <v>4992470</v>
      </c>
      <c r="W47" s="49">
        <f t="shared" si="44"/>
        <v>4866746</v>
      </c>
      <c r="X47" s="50">
        <f t="shared" si="22"/>
        <v>125724</v>
      </c>
      <c r="Y47" s="48">
        <f t="shared" si="10"/>
        <v>2.5833277512325482E-2</v>
      </c>
      <c r="Z47" s="48"/>
    </row>
    <row r="48" spans="2:26" ht="12" customHeight="1" x14ac:dyDescent="0.25">
      <c r="B48" s="44" t="s">
        <v>93</v>
      </c>
      <c r="C48" s="49">
        <f t="shared" si="24"/>
        <v>0</v>
      </c>
      <c r="D48" s="49">
        <f t="shared" si="25"/>
        <v>0</v>
      </c>
      <c r="E48" s="49">
        <f t="shared" si="26"/>
        <v>70000</v>
      </c>
      <c r="F48" s="49">
        <f t="shared" si="27"/>
        <v>0</v>
      </c>
      <c r="G48" s="49">
        <f t="shared" si="28"/>
        <v>0</v>
      </c>
      <c r="H48" s="49">
        <f t="shared" si="29"/>
        <v>0</v>
      </c>
      <c r="I48" s="49">
        <f t="shared" si="30"/>
        <v>0</v>
      </c>
      <c r="J48" s="49">
        <f t="shared" si="31"/>
        <v>0</v>
      </c>
      <c r="K48" s="49">
        <f t="shared" si="32"/>
        <v>0</v>
      </c>
      <c r="L48" s="49">
        <f t="shared" si="33"/>
        <v>0</v>
      </c>
      <c r="M48" s="49">
        <f t="shared" si="34"/>
        <v>0</v>
      </c>
      <c r="N48" s="49">
        <f t="shared" si="35"/>
        <v>0</v>
      </c>
      <c r="O48" s="49">
        <f t="shared" si="36"/>
        <v>768686</v>
      </c>
      <c r="P48" s="49">
        <f t="shared" si="37"/>
        <v>0</v>
      </c>
      <c r="Q48" s="49">
        <f t="shared" si="38"/>
        <v>0</v>
      </c>
      <c r="R48" s="49">
        <f t="shared" si="39"/>
        <v>0</v>
      </c>
      <c r="S48" s="49">
        <f t="shared" si="40"/>
        <v>0</v>
      </c>
      <c r="T48" s="49">
        <f t="shared" si="41"/>
        <v>0</v>
      </c>
      <c r="U48" s="49">
        <f t="shared" si="42"/>
        <v>0</v>
      </c>
      <c r="V48" s="49">
        <f t="shared" si="43"/>
        <v>838686</v>
      </c>
      <c r="W48" s="49">
        <f t="shared" si="44"/>
        <v>857301</v>
      </c>
      <c r="X48" s="50">
        <f t="shared" si="22"/>
        <v>-18615</v>
      </c>
      <c r="Y48" s="48">
        <f t="shared" si="10"/>
        <v>-2.1713493860382758E-2</v>
      </c>
      <c r="Z48" s="48"/>
    </row>
    <row r="49" spans="2:26" ht="12" customHeight="1" x14ac:dyDescent="0.25">
      <c r="B49" s="44" t="s">
        <v>94</v>
      </c>
      <c r="C49" s="49">
        <f t="shared" si="24"/>
        <v>0</v>
      </c>
      <c r="D49" s="49">
        <f t="shared" si="25"/>
        <v>0</v>
      </c>
      <c r="E49" s="49">
        <f t="shared" si="26"/>
        <v>0</v>
      </c>
      <c r="F49" s="49">
        <f t="shared" si="27"/>
        <v>0</v>
      </c>
      <c r="G49" s="49">
        <f t="shared" si="28"/>
        <v>0</v>
      </c>
      <c r="H49" s="49">
        <f t="shared" si="29"/>
        <v>0</v>
      </c>
      <c r="I49" s="49">
        <f t="shared" si="30"/>
        <v>0</v>
      </c>
      <c r="J49" s="49">
        <f t="shared" si="31"/>
        <v>0</v>
      </c>
      <c r="K49" s="49">
        <f t="shared" si="32"/>
        <v>0</v>
      </c>
      <c r="L49" s="49">
        <f t="shared" si="33"/>
        <v>0</v>
      </c>
      <c r="M49" s="49">
        <f t="shared" si="34"/>
        <v>0</v>
      </c>
      <c r="N49" s="49">
        <f t="shared" si="35"/>
        <v>0</v>
      </c>
      <c r="O49" s="49">
        <f t="shared" si="36"/>
        <v>0</v>
      </c>
      <c r="P49" s="49">
        <f t="shared" si="37"/>
        <v>14696169</v>
      </c>
      <c r="Q49" s="49">
        <f t="shared" si="38"/>
        <v>0</v>
      </c>
      <c r="R49" s="49">
        <f t="shared" si="39"/>
        <v>0</v>
      </c>
      <c r="S49" s="49">
        <f t="shared" si="40"/>
        <v>0</v>
      </c>
      <c r="T49" s="49">
        <f t="shared" si="41"/>
        <v>0</v>
      </c>
      <c r="U49" s="49">
        <f t="shared" si="42"/>
        <v>0</v>
      </c>
      <c r="V49" s="49">
        <f t="shared" si="43"/>
        <v>14696169</v>
      </c>
      <c r="W49" s="49">
        <f t="shared" si="44"/>
        <v>13321925</v>
      </c>
      <c r="X49" s="50">
        <f t="shared" si="22"/>
        <v>1374244</v>
      </c>
      <c r="Y49" s="48">
        <f t="shared" si="10"/>
        <v>0.10315656333450308</v>
      </c>
      <c r="Z49" s="48"/>
    </row>
    <row r="50" spans="2:26" ht="12" customHeight="1" x14ac:dyDescent="0.25">
      <c r="B50" s="44" t="s">
        <v>96</v>
      </c>
      <c r="C50" s="49">
        <f t="shared" si="24"/>
        <v>0</v>
      </c>
      <c r="D50" s="49">
        <f t="shared" si="25"/>
        <v>0</v>
      </c>
      <c r="E50" s="49">
        <f t="shared" si="26"/>
        <v>0</v>
      </c>
      <c r="F50" s="49">
        <f t="shared" si="27"/>
        <v>0</v>
      </c>
      <c r="G50" s="49">
        <f t="shared" si="28"/>
        <v>0</v>
      </c>
      <c r="H50" s="49">
        <f t="shared" si="29"/>
        <v>0</v>
      </c>
      <c r="I50" s="49">
        <f t="shared" si="30"/>
        <v>0</v>
      </c>
      <c r="J50" s="49">
        <f t="shared" si="31"/>
        <v>0</v>
      </c>
      <c r="K50" s="49">
        <f t="shared" si="32"/>
        <v>0</v>
      </c>
      <c r="L50" s="49">
        <f t="shared" si="33"/>
        <v>0</v>
      </c>
      <c r="M50" s="49">
        <f t="shared" si="34"/>
        <v>0</v>
      </c>
      <c r="N50" s="49">
        <f t="shared" si="35"/>
        <v>0</v>
      </c>
      <c r="O50" s="49">
        <f t="shared" si="36"/>
        <v>0</v>
      </c>
      <c r="P50" s="49">
        <f t="shared" si="37"/>
        <v>0</v>
      </c>
      <c r="Q50" s="49">
        <f t="shared" si="38"/>
        <v>0</v>
      </c>
      <c r="R50" s="49">
        <f t="shared" si="39"/>
        <v>0</v>
      </c>
      <c r="S50" s="49">
        <f t="shared" si="40"/>
        <v>0</v>
      </c>
      <c r="T50" s="49">
        <f t="shared" si="41"/>
        <v>0</v>
      </c>
      <c r="U50" s="49">
        <f t="shared" si="42"/>
        <v>0</v>
      </c>
      <c r="V50" s="49">
        <f t="shared" si="43"/>
        <v>0</v>
      </c>
      <c r="W50" s="49">
        <f t="shared" si="44"/>
        <v>0</v>
      </c>
      <c r="X50" s="50">
        <f t="shared" si="22"/>
        <v>0</v>
      </c>
      <c r="Y50" s="48">
        <f t="shared" si="10"/>
        <v>1</v>
      </c>
      <c r="Z50" s="48"/>
    </row>
    <row r="51" spans="2:26" s="55" customFormat="1" ht="12" customHeight="1" x14ac:dyDescent="0.25">
      <c r="B51" s="51" t="s">
        <v>107</v>
      </c>
      <c r="C51" s="52">
        <f>SUM(C25:C50)</f>
        <v>132043</v>
      </c>
      <c r="D51" s="52">
        <f t="shared" ref="D51:X51" si="45">SUM(D25:D50)</f>
        <v>1050</v>
      </c>
      <c r="E51" s="52">
        <f t="shared" si="45"/>
        <v>821430</v>
      </c>
      <c r="F51" s="52">
        <f t="shared" si="45"/>
        <v>1641</v>
      </c>
      <c r="G51" s="52">
        <f t="shared" si="45"/>
        <v>670870</v>
      </c>
      <c r="H51" s="52">
        <f t="shared" si="45"/>
        <v>329972</v>
      </c>
      <c r="I51" s="52">
        <f t="shared" si="45"/>
        <v>145769</v>
      </c>
      <c r="J51" s="52">
        <f>SUM(J25:J50)</f>
        <v>1820424</v>
      </c>
      <c r="K51" s="52">
        <f t="shared" si="45"/>
        <v>64002</v>
      </c>
      <c r="L51" s="52">
        <f t="shared" si="45"/>
        <v>2021673</v>
      </c>
      <c r="M51" s="52">
        <f t="shared" si="45"/>
        <v>0</v>
      </c>
      <c r="N51" s="52">
        <f t="shared" si="45"/>
        <v>149678</v>
      </c>
      <c r="O51" s="52">
        <f t="shared" si="45"/>
        <v>7100402</v>
      </c>
      <c r="P51" s="52">
        <f t="shared" si="45"/>
        <v>22221367</v>
      </c>
      <c r="Q51" s="52">
        <f t="shared" si="45"/>
        <v>10115561</v>
      </c>
      <c r="R51" s="52">
        <f t="shared" si="45"/>
        <v>10291317</v>
      </c>
      <c r="S51" s="52">
        <f t="shared" si="45"/>
        <v>166</v>
      </c>
      <c r="T51" s="52">
        <f t="shared" si="45"/>
        <v>29884</v>
      </c>
      <c r="U51" s="52">
        <f t="shared" si="45"/>
        <v>7101575</v>
      </c>
      <c r="V51" s="52">
        <f>SUM(V25:V50)</f>
        <v>63018824</v>
      </c>
      <c r="W51" s="52">
        <f t="shared" si="45"/>
        <v>63637686</v>
      </c>
      <c r="X51" s="52">
        <f t="shared" si="45"/>
        <v>-618862</v>
      </c>
      <c r="Y51" s="53">
        <f t="shared" si="10"/>
        <v>-9.7247722049478673E-3</v>
      </c>
      <c r="Z51" s="53"/>
    </row>
    <row r="52" spans="2:26" ht="12" customHeight="1" x14ac:dyDescent="0.25">
      <c r="B52" s="44" t="s">
        <v>67</v>
      </c>
      <c r="C52" s="49">
        <f t="shared" ref="C52:C67" si="46">IFERROR(VLOOKUP(B52,$B$81:$C$135,2,FALSE),0)</f>
        <v>12013</v>
      </c>
      <c r="D52" s="49">
        <f t="shared" ref="D52:D67" si="47">IFERROR(VLOOKUP($B52,$B$81:$D$135,3,FALSE),0)</f>
        <v>12395</v>
      </c>
      <c r="E52" s="49">
        <f t="shared" ref="E52:E67" si="48">IFERROR(VLOOKUP($B52,$B$81:$E$135,4,FALSE),0)</f>
        <v>4200</v>
      </c>
      <c r="F52" s="49">
        <f t="shared" ref="F52:F67" si="49">IFERROR(VLOOKUP($B52,$B$81:$F$135,5,FALSE),0)</f>
        <v>10751</v>
      </c>
      <c r="G52" s="49">
        <f t="shared" ref="G52:G67" si="50">IFERROR(VLOOKUP($B52,$B$81:$G$135,6,FALSE),0)</f>
        <v>5200</v>
      </c>
      <c r="H52" s="49">
        <f t="shared" ref="H52:H67" si="51">IFERROR(VLOOKUP($B52,$B$81:$H$135,7,FALSE),0)</f>
        <v>4906</v>
      </c>
      <c r="I52" s="49">
        <f t="shared" ref="I52:I67" si="52">IFERROR(VLOOKUP($B52,$B$81:$I$135,8,FALSE),0)</f>
        <v>12229</v>
      </c>
      <c r="J52" s="49">
        <f t="shared" ref="J52:J67" si="53">IFERROR(VLOOKUP($B52,$B$81:$J$135,9,FALSE),0)</f>
        <v>9613</v>
      </c>
      <c r="K52" s="49">
        <f t="shared" ref="K52:K67" si="54">IFERROR(VLOOKUP($B52,$B$81:$K$135,10,FALSE),0)</f>
        <v>12681</v>
      </c>
      <c r="L52" s="49">
        <f t="shared" ref="L52:L67" si="55">IFERROR(VLOOKUP($B52,$B$81:$L$135,11,FALSE),0)</f>
        <v>28855</v>
      </c>
      <c r="M52" s="49">
        <f t="shared" ref="M52:M67" si="56">IFERROR(VLOOKUP($B52,$B$81:$M$135,12,FALSE),0)</f>
        <v>0</v>
      </c>
      <c r="N52" s="49">
        <f t="shared" ref="N52:N67" si="57">IFERROR(VLOOKUP($B52,$B$81:$N$135,13,FALSE),0)</f>
        <v>16960</v>
      </c>
      <c r="O52" s="49">
        <f t="shared" ref="O52:O67" si="58">IFERROR(VLOOKUP($B52,$B$81:$O$135,14,FALSE),0)</f>
        <v>9861</v>
      </c>
      <c r="P52" s="49">
        <f t="shared" ref="P52:P67" si="59">IFERROR(VLOOKUP($B52,$B$81:$P$135,15,FALSE),0)</f>
        <v>3650</v>
      </c>
      <c r="Q52" s="49">
        <f t="shared" ref="Q52:Q67" si="60">IFERROR(VLOOKUP($B52,$B$81:$Q$135,16,FALSE),0)</f>
        <v>22219</v>
      </c>
      <c r="R52" s="49">
        <f t="shared" ref="R52:R67" si="61">IFERROR(VLOOKUP($B52,$B$81:$R$135,17,FALSE),0)</f>
        <v>21500</v>
      </c>
      <c r="S52" s="49">
        <f t="shared" ref="S52:S67" si="62">IFERROR(VLOOKUP($B52,$B$81:$S$135,18,FALSE),0)</f>
        <v>25278</v>
      </c>
      <c r="T52" s="49">
        <f t="shared" ref="T52:T67" si="63">IFERROR(VLOOKUP($B52,$B$81:$T$135,19,FALSE),0)</f>
        <v>10208</v>
      </c>
      <c r="U52" s="49">
        <f t="shared" ref="U52:U67" si="64">IFERROR(VLOOKUP($B52,$B$81:$U$135,20,FALSE),0)</f>
        <v>14367</v>
      </c>
      <c r="V52" s="49">
        <f t="shared" ref="V52:V67" si="65">SUM(C52:U52)</f>
        <v>236886</v>
      </c>
      <c r="W52" s="49">
        <f t="shared" ref="W52:W67" si="66">IFERROR(VLOOKUP($B52,$B$81:$W$135,22,FALSE),0)</f>
        <v>251467</v>
      </c>
      <c r="X52" s="50">
        <f t="shared" si="22"/>
        <v>-14581</v>
      </c>
      <c r="Y52" s="48">
        <f t="shared" si="10"/>
        <v>-5.7983751347095248E-2</v>
      </c>
      <c r="Z52" s="48"/>
    </row>
    <row r="53" spans="2:26" ht="12" customHeight="1" x14ac:dyDescent="0.25">
      <c r="B53" s="44" t="s">
        <v>68</v>
      </c>
      <c r="C53" s="49">
        <f t="shared" si="46"/>
        <v>43775</v>
      </c>
      <c r="D53" s="49">
        <f t="shared" si="47"/>
        <v>0</v>
      </c>
      <c r="E53" s="49">
        <f t="shared" si="48"/>
        <v>2500</v>
      </c>
      <c r="F53" s="49">
        <f t="shared" si="49"/>
        <v>3711</v>
      </c>
      <c r="G53" s="49">
        <f t="shared" si="50"/>
        <v>650</v>
      </c>
      <c r="H53" s="49">
        <f t="shared" si="51"/>
        <v>20136</v>
      </c>
      <c r="I53" s="49">
        <f t="shared" si="52"/>
        <v>4074</v>
      </c>
      <c r="J53" s="49">
        <f t="shared" si="53"/>
        <v>45664</v>
      </c>
      <c r="K53" s="49">
        <f t="shared" si="54"/>
        <v>76913</v>
      </c>
      <c r="L53" s="49">
        <f t="shared" si="55"/>
        <v>11625</v>
      </c>
      <c r="M53" s="49">
        <f t="shared" si="56"/>
        <v>980</v>
      </c>
      <c r="N53" s="49">
        <f t="shared" si="57"/>
        <v>2491</v>
      </c>
      <c r="O53" s="49">
        <f t="shared" si="58"/>
        <v>2393</v>
      </c>
      <c r="P53" s="49">
        <f t="shared" si="59"/>
        <v>1073</v>
      </c>
      <c r="Q53" s="49">
        <f t="shared" si="60"/>
        <v>5544</v>
      </c>
      <c r="R53" s="49">
        <f t="shared" si="61"/>
        <v>19544</v>
      </c>
      <c r="S53" s="49">
        <f t="shared" si="62"/>
        <v>9535</v>
      </c>
      <c r="T53" s="49">
        <f t="shared" si="63"/>
        <v>3924</v>
      </c>
      <c r="U53" s="49">
        <f t="shared" si="64"/>
        <v>4861</v>
      </c>
      <c r="V53" s="49">
        <f t="shared" si="65"/>
        <v>259393</v>
      </c>
      <c r="W53" s="49">
        <f t="shared" si="66"/>
        <v>219284</v>
      </c>
      <c r="X53" s="50">
        <f t="shared" si="22"/>
        <v>40109</v>
      </c>
      <c r="Y53" s="48">
        <f t="shared" si="10"/>
        <v>0.18290892176355775</v>
      </c>
      <c r="Z53" s="48"/>
    </row>
    <row r="54" spans="2:26" ht="12" customHeight="1" x14ac:dyDescent="0.25">
      <c r="B54" s="44" t="s">
        <v>69</v>
      </c>
      <c r="C54" s="49">
        <f t="shared" si="46"/>
        <v>7282</v>
      </c>
      <c r="D54" s="49">
        <f t="shared" si="47"/>
        <v>0</v>
      </c>
      <c r="E54" s="49">
        <f t="shared" si="48"/>
        <v>4200</v>
      </c>
      <c r="F54" s="49">
        <f t="shared" si="49"/>
        <v>5300</v>
      </c>
      <c r="G54" s="49">
        <f t="shared" si="50"/>
        <v>2500</v>
      </c>
      <c r="H54" s="49">
        <f t="shared" si="51"/>
        <v>71939</v>
      </c>
      <c r="I54" s="49">
        <f t="shared" si="52"/>
        <v>11071</v>
      </c>
      <c r="J54" s="49">
        <f t="shared" si="53"/>
        <v>2841</v>
      </c>
      <c r="K54" s="49">
        <f t="shared" si="54"/>
        <v>19280</v>
      </c>
      <c r="L54" s="49">
        <f t="shared" si="55"/>
        <v>2473</v>
      </c>
      <c r="M54" s="49">
        <f t="shared" si="56"/>
        <v>0</v>
      </c>
      <c r="N54" s="49">
        <f t="shared" si="57"/>
        <v>6827</v>
      </c>
      <c r="O54" s="49">
        <f t="shared" si="58"/>
        <v>28494</v>
      </c>
      <c r="P54" s="49">
        <f t="shared" si="59"/>
        <v>22194</v>
      </c>
      <c r="Q54" s="49">
        <f t="shared" si="60"/>
        <v>103678</v>
      </c>
      <c r="R54" s="49">
        <f t="shared" si="61"/>
        <v>80675</v>
      </c>
      <c r="S54" s="49">
        <f t="shared" si="62"/>
        <v>2456</v>
      </c>
      <c r="T54" s="49">
        <f t="shared" si="63"/>
        <v>5537</v>
      </c>
      <c r="U54" s="49">
        <f t="shared" si="64"/>
        <v>26861</v>
      </c>
      <c r="V54" s="49">
        <f t="shared" si="65"/>
        <v>403608</v>
      </c>
      <c r="W54" s="49">
        <f t="shared" si="66"/>
        <v>403700</v>
      </c>
      <c r="X54" s="50">
        <f t="shared" si="22"/>
        <v>-92</v>
      </c>
      <c r="Y54" s="48">
        <f t="shared" si="10"/>
        <v>-2.2789199900916522E-4</v>
      </c>
      <c r="Z54" s="48"/>
    </row>
    <row r="55" spans="2:26" ht="12" customHeight="1" x14ac:dyDescent="0.25">
      <c r="B55" s="44" t="s">
        <v>70</v>
      </c>
      <c r="C55" s="49">
        <f t="shared" si="46"/>
        <v>0</v>
      </c>
      <c r="D55" s="49">
        <f t="shared" si="47"/>
        <v>0</v>
      </c>
      <c r="E55" s="49">
        <f t="shared" si="48"/>
        <v>0</v>
      </c>
      <c r="F55" s="49">
        <f t="shared" si="49"/>
        <v>600</v>
      </c>
      <c r="G55" s="49">
        <f t="shared" si="50"/>
        <v>0</v>
      </c>
      <c r="H55" s="49">
        <f t="shared" si="51"/>
        <v>0</v>
      </c>
      <c r="I55" s="49">
        <f t="shared" si="52"/>
        <v>700</v>
      </c>
      <c r="J55" s="49">
        <f t="shared" si="53"/>
        <v>0</v>
      </c>
      <c r="K55" s="49">
        <f t="shared" si="54"/>
        <v>2878</v>
      </c>
      <c r="L55" s="49">
        <f t="shared" si="55"/>
        <v>0</v>
      </c>
      <c r="M55" s="49">
        <f t="shared" si="56"/>
        <v>0</v>
      </c>
      <c r="N55" s="49">
        <f t="shared" si="57"/>
        <v>0</v>
      </c>
      <c r="O55" s="49">
        <f t="shared" si="58"/>
        <v>0</v>
      </c>
      <c r="P55" s="49">
        <f t="shared" si="59"/>
        <v>0</v>
      </c>
      <c r="Q55" s="49">
        <f t="shared" si="60"/>
        <v>0</v>
      </c>
      <c r="R55" s="49">
        <f t="shared" si="61"/>
        <v>31765</v>
      </c>
      <c r="S55" s="49">
        <f t="shared" si="62"/>
        <v>0</v>
      </c>
      <c r="T55" s="49">
        <f t="shared" si="63"/>
        <v>0</v>
      </c>
      <c r="U55" s="49">
        <f t="shared" si="64"/>
        <v>0</v>
      </c>
      <c r="V55" s="49">
        <f t="shared" si="65"/>
        <v>35943</v>
      </c>
      <c r="W55" s="49">
        <f t="shared" si="66"/>
        <v>20969</v>
      </c>
      <c r="X55" s="50">
        <f t="shared" si="22"/>
        <v>14974</v>
      </c>
      <c r="Y55" s="48">
        <f t="shared" si="10"/>
        <v>0.7141017692784587</v>
      </c>
      <c r="Z55" s="48"/>
    </row>
    <row r="56" spans="2:26" ht="12" customHeight="1" x14ac:dyDescent="0.25">
      <c r="B56" s="44" t="s">
        <v>36</v>
      </c>
      <c r="C56" s="49">
        <f t="shared" si="46"/>
        <v>2046</v>
      </c>
      <c r="D56" s="49">
        <f t="shared" si="47"/>
        <v>45842</v>
      </c>
      <c r="E56" s="49">
        <f t="shared" si="48"/>
        <v>0</v>
      </c>
      <c r="F56" s="49">
        <f t="shared" si="49"/>
        <v>2200</v>
      </c>
      <c r="G56" s="49">
        <f t="shared" si="50"/>
        <v>0</v>
      </c>
      <c r="H56" s="49">
        <f t="shared" si="51"/>
        <v>6643</v>
      </c>
      <c r="I56" s="49">
        <f t="shared" si="52"/>
        <v>565</v>
      </c>
      <c r="J56" s="49">
        <f t="shared" si="53"/>
        <v>0</v>
      </c>
      <c r="K56" s="49">
        <f t="shared" si="54"/>
        <v>1349</v>
      </c>
      <c r="L56" s="49">
        <f t="shared" si="55"/>
        <v>11688</v>
      </c>
      <c r="M56" s="49">
        <f t="shared" si="56"/>
        <v>0</v>
      </c>
      <c r="N56" s="49">
        <f t="shared" si="57"/>
        <v>6360</v>
      </c>
      <c r="O56" s="49">
        <f t="shared" si="58"/>
        <v>9104</v>
      </c>
      <c r="P56" s="49">
        <f t="shared" si="59"/>
        <v>11080</v>
      </c>
      <c r="Q56" s="49">
        <f t="shared" si="60"/>
        <v>0</v>
      </c>
      <c r="R56" s="49">
        <f t="shared" si="61"/>
        <v>2100</v>
      </c>
      <c r="S56" s="49">
        <f t="shared" si="62"/>
        <v>880</v>
      </c>
      <c r="T56" s="49">
        <f t="shared" si="63"/>
        <v>0</v>
      </c>
      <c r="U56" s="49">
        <f t="shared" si="64"/>
        <v>0</v>
      </c>
      <c r="V56" s="49">
        <f t="shared" si="65"/>
        <v>99857</v>
      </c>
      <c r="W56" s="49">
        <f t="shared" si="66"/>
        <v>105718</v>
      </c>
      <c r="X56" s="50">
        <f t="shared" si="22"/>
        <v>-5861</v>
      </c>
      <c r="Y56" s="48">
        <f t="shared" si="10"/>
        <v>-5.54399440019675E-2</v>
      </c>
      <c r="Z56" s="48"/>
    </row>
    <row r="57" spans="2:26" ht="12" customHeight="1" x14ac:dyDescent="0.25">
      <c r="B57" s="44" t="s">
        <v>72</v>
      </c>
      <c r="C57" s="49">
        <f t="shared" si="46"/>
        <v>0</v>
      </c>
      <c r="D57" s="49">
        <f t="shared" si="47"/>
        <v>0</v>
      </c>
      <c r="E57" s="49">
        <f t="shared" si="48"/>
        <v>0</v>
      </c>
      <c r="F57" s="49">
        <f t="shared" si="49"/>
        <v>0</v>
      </c>
      <c r="G57" s="49">
        <f t="shared" si="50"/>
        <v>0</v>
      </c>
      <c r="H57" s="49">
        <f t="shared" si="51"/>
        <v>0</v>
      </c>
      <c r="I57" s="49">
        <f t="shared" si="52"/>
        <v>0</v>
      </c>
      <c r="J57" s="49">
        <f t="shared" si="53"/>
        <v>0</v>
      </c>
      <c r="K57" s="49">
        <f t="shared" si="54"/>
        <v>0</v>
      </c>
      <c r="L57" s="49">
        <f t="shared" si="55"/>
        <v>0</v>
      </c>
      <c r="M57" s="49">
        <f t="shared" si="56"/>
        <v>0</v>
      </c>
      <c r="N57" s="49">
        <f t="shared" si="57"/>
        <v>0</v>
      </c>
      <c r="O57" s="49">
        <f t="shared" si="58"/>
        <v>0</v>
      </c>
      <c r="P57" s="49">
        <f t="shared" si="59"/>
        <v>0</v>
      </c>
      <c r="Q57" s="49">
        <f t="shared" si="60"/>
        <v>0</v>
      </c>
      <c r="R57" s="49">
        <f t="shared" si="61"/>
        <v>0</v>
      </c>
      <c r="S57" s="49">
        <f t="shared" si="62"/>
        <v>0</v>
      </c>
      <c r="T57" s="49">
        <f t="shared" si="63"/>
        <v>0</v>
      </c>
      <c r="U57" s="49">
        <f t="shared" si="64"/>
        <v>11000</v>
      </c>
      <c r="V57" s="49">
        <f t="shared" si="65"/>
        <v>11000</v>
      </c>
      <c r="W57" s="49">
        <f t="shared" si="66"/>
        <v>10864</v>
      </c>
      <c r="X57" s="50">
        <f t="shared" si="22"/>
        <v>136</v>
      </c>
      <c r="Y57" s="48">
        <f t="shared" si="10"/>
        <v>1.2518409425625921E-2</v>
      </c>
      <c r="Z57" s="48"/>
    </row>
    <row r="58" spans="2:26" ht="12" customHeight="1" x14ac:dyDescent="0.25">
      <c r="B58" s="44" t="s">
        <v>73</v>
      </c>
      <c r="C58" s="49">
        <f t="shared" si="46"/>
        <v>626</v>
      </c>
      <c r="D58" s="49">
        <f t="shared" si="47"/>
        <v>2439</v>
      </c>
      <c r="E58" s="49">
        <f t="shared" si="48"/>
        <v>600</v>
      </c>
      <c r="F58" s="49">
        <f t="shared" si="49"/>
        <v>7800</v>
      </c>
      <c r="G58" s="49">
        <f t="shared" si="50"/>
        <v>2200</v>
      </c>
      <c r="H58" s="49">
        <f t="shared" si="51"/>
        <v>3925</v>
      </c>
      <c r="I58" s="49">
        <f t="shared" si="52"/>
        <v>2544</v>
      </c>
      <c r="J58" s="49">
        <f t="shared" si="53"/>
        <v>36040</v>
      </c>
      <c r="K58" s="49">
        <f t="shared" si="54"/>
        <v>3803</v>
      </c>
      <c r="L58" s="49">
        <f t="shared" si="55"/>
        <v>6650</v>
      </c>
      <c r="M58" s="49">
        <f t="shared" si="56"/>
        <v>61433</v>
      </c>
      <c r="N58" s="49">
        <f t="shared" si="57"/>
        <v>2120</v>
      </c>
      <c r="O58" s="49">
        <f t="shared" si="58"/>
        <v>90090</v>
      </c>
      <c r="P58" s="49">
        <f t="shared" si="59"/>
        <v>106670</v>
      </c>
      <c r="Q58" s="49">
        <f t="shared" si="60"/>
        <v>178349</v>
      </c>
      <c r="R58" s="49">
        <f t="shared" si="61"/>
        <v>21100</v>
      </c>
      <c r="S58" s="49">
        <f t="shared" si="62"/>
        <v>827</v>
      </c>
      <c r="T58" s="49">
        <f t="shared" si="63"/>
        <v>1574</v>
      </c>
      <c r="U58" s="49">
        <f t="shared" si="64"/>
        <v>9177</v>
      </c>
      <c r="V58" s="49">
        <f t="shared" si="65"/>
        <v>537967</v>
      </c>
      <c r="W58" s="49">
        <f t="shared" si="66"/>
        <v>484594</v>
      </c>
      <c r="X58" s="50">
        <f t="shared" si="22"/>
        <v>53373</v>
      </c>
      <c r="Y58" s="48">
        <f t="shared" si="10"/>
        <v>0.11013962203411516</v>
      </c>
      <c r="Z58" s="48"/>
    </row>
    <row r="59" spans="2:26" ht="12" customHeight="1" x14ac:dyDescent="0.25">
      <c r="B59" s="44" t="s">
        <v>74</v>
      </c>
      <c r="C59" s="49">
        <f t="shared" si="46"/>
        <v>0</v>
      </c>
      <c r="D59" s="49">
        <f t="shared" si="47"/>
        <v>0</v>
      </c>
      <c r="E59" s="49">
        <f t="shared" si="48"/>
        <v>0</v>
      </c>
      <c r="F59" s="49">
        <f t="shared" si="49"/>
        <v>0</v>
      </c>
      <c r="G59" s="49">
        <f t="shared" si="50"/>
        <v>0</v>
      </c>
      <c r="H59" s="49">
        <f t="shared" si="51"/>
        <v>0</v>
      </c>
      <c r="I59" s="49">
        <f t="shared" si="52"/>
        <v>0</v>
      </c>
      <c r="J59" s="49">
        <f t="shared" si="53"/>
        <v>0</v>
      </c>
      <c r="K59" s="49">
        <f t="shared" si="54"/>
        <v>0</v>
      </c>
      <c r="L59" s="49">
        <f t="shared" si="55"/>
        <v>2392</v>
      </c>
      <c r="M59" s="49">
        <f t="shared" si="56"/>
        <v>0</v>
      </c>
      <c r="N59" s="49">
        <f t="shared" si="57"/>
        <v>0</v>
      </c>
      <c r="O59" s="49">
        <f t="shared" si="58"/>
        <v>0</v>
      </c>
      <c r="P59" s="49">
        <f t="shared" si="59"/>
        <v>0</v>
      </c>
      <c r="Q59" s="49">
        <f t="shared" si="60"/>
        <v>89958</v>
      </c>
      <c r="R59" s="49">
        <f t="shared" si="61"/>
        <v>2360844</v>
      </c>
      <c r="S59" s="49">
        <f t="shared" si="62"/>
        <v>0</v>
      </c>
      <c r="T59" s="49">
        <f t="shared" si="63"/>
        <v>0</v>
      </c>
      <c r="U59" s="49">
        <f t="shared" si="64"/>
        <v>57313</v>
      </c>
      <c r="V59" s="49">
        <f t="shared" si="65"/>
        <v>2510507</v>
      </c>
      <c r="W59" s="49">
        <f t="shared" si="66"/>
        <v>2421455</v>
      </c>
      <c r="X59" s="50">
        <f t="shared" si="22"/>
        <v>89052</v>
      </c>
      <c r="Y59" s="48">
        <f t="shared" si="10"/>
        <v>3.6776235775597729E-2</v>
      </c>
      <c r="Z59" s="48"/>
    </row>
    <row r="60" spans="2:26" ht="12" customHeight="1" x14ac:dyDescent="0.25">
      <c r="B60" s="44" t="s">
        <v>49</v>
      </c>
      <c r="C60" s="49">
        <f t="shared" si="46"/>
        <v>0</v>
      </c>
      <c r="D60" s="49">
        <f t="shared" si="47"/>
        <v>0</v>
      </c>
      <c r="E60" s="49">
        <f t="shared" si="48"/>
        <v>0</v>
      </c>
      <c r="F60" s="49">
        <f t="shared" si="49"/>
        <v>0</v>
      </c>
      <c r="G60" s="49">
        <f t="shared" si="50"/>
        <v>0</v>
      </c>
      <c r="H60" s="49">
        <f t="shared" si="51"/>
        <v>0</v>
      </c>
      <c r="I60" s="49">
        <f t="shared" si="52"/>
        <v>0</v>
      </c>
      <c r="J60" s="49">
        <f t="shared" si="53"/>
        <v>0</v>
      </c>
      <c r="K60" s="49">
        <f t="shared" si="54"/>
        <v>0</v>
      </c>
      <c r="L60" s="49">
        <f t="shared" si="55"/>
        <v>0</v>
      </c>
      <c r="M60" s="49">
        <f t="shared" si="56"/>
        <v>0</v>
      </c>
      <c r="N60" s="49">
        <f t="shared" si="57"/>
        <v>0</v>
      </c>
      <c r="O60" s="49">
        <f t="shared" si="58"/>
        <v>0</v>
      </c>
      <c r="P60" s="49">
        <f t="shared" si="59"/>
        <v>0</v>
      </c>
      <c r="Q60" s="49">
        <f t="shared" si="60"/>
        <v>0</v>
      </c>
      <c r="R60" s="49">
        <f t="shared" si="61"/>
        <v>35000</v>
      </c>
      <c r="S60" s="49">
        <f t="shared" si="62"/>
        <v>0</v>
      </c>
      <c r="T60" s="49">
        <f t="shared" si="63"/>
        <v>0</v>
      </c>
      <c r="U60" s="49">
        <f t="shared" si="64"/>
        <v>0</v>
      </c>
      <c r="V60" s="49">
        <f t="shared" si="65"/>
        <v>35000</v>
      </c>
      <c r="W60" s="49">
        <f t="shared" si="66"/>
        <v>35000</v>
      </c>
      <c r="X60" s="50">
        <f t="shared" si="22"/>
        <v>0</v>
      </c>
      <c r="Y60" s="48">
        <f t="shared" si="10"/>
        <v>0</v>
      </c>
      <c r="Z60" s="48"/>
    </row>
    <row r="61" spans="2:26" ht="12" customHeight="1" x14ac:dyDescent="0.25">
      <c r="B61" s="44" t="s">
        <v>57</v>
      </c>
      <c r="C61" s="49">
        <f t="shared" si="46"/>
        <v>0</v>
      </c>
      <c r="D61" s="49">
        <f t="shared" si="47"/>
        <v>0</v>
      </c>
      <c r="E61" s="49">
        <f t="shared" si="48"/>
        <v>0</v>
      </c>
      <c r="F61" s="49">
        <f t="shared" si="49"/>
        <v>0</v>
      </c>
      <c r="G61" s="49">
        <f t="shared" si="50"/>
        <v>0</v>
      </c>
      <c r="H61" s="49">
        <f t="shared" si="51"/>
        <v>0</v>
      </c>
      <c r="I61" s="49">
        <f t="shared" si="52"/>
        <v>85</v>
      </c>
      <c r="J61" s="49">
        <f t="shared" si="53"/>
        <v>0</v>
      </c>
      <c r="K61" s="49">
        <f t="shared" si="54"/>
        <v>0</v>
      </c>
      <c r="L61" s="49">
        <f t="shared" si="55"/>
        <v>0</v>
      </c>
      <c r="M61" s="49">
        <f t="shared" si="56"/>
        <v>0</v>
      </c>
      <c r="N61" s="49">
        <f t="shared" si="57"/>
        <v>0</v>
      </c>
      <c r="O61" s="49">
        <f t="shared" si="58"/>
        <v>1032049</v>
      </c>
      <c r="P61" s="49">
        <f t="shared" si="59"/>
        <v>8326937</v>
      </c>
      <c r="Q61" s="49">
        <f t="shared" si="60"/>
        <v>0</v>
      </c>
      <c r="R61" s="49">
        <f t="shared" si="61"/>
        <v>0</v>
      </c>
      <c r="S61" s="49">
        <f t="shared" si="62"/>
        <v>0</v>
      </c>
      <c r="T61" s="49">
        <f t="shared" si="63"/>
        <v>0</v>
      </c>
      <c r="U61" s="49">
        <f t="shared" si="64"/>
        <v>2558</v>
      </c>
      <c r="V61" s="49">
        <f t="shared" si="65"/>
        <v>9361629</v>
      </c>
      <c r="W61" s="49">
        <f t="shared" si="66"/>
        <v>7971456</v>
      </c>
      <c r="X61" s="50">
        <f t="shared" si="22"/>
        <v>1390173</v>
      </c>
      <c r="Y61" s="48">
        <f t="shared" si="10"/>
        <v>0.17439386230068885</v>
      </c>
      <c r="Z61" s="48"/>
    </row>
    <row r="62" spans="2:26" ht="12" customHeight="1" x14ac:dyDescent="0.25">
      <c r="B62" s="44" t="s">
        <v>66</v>
      </c>
      <c r="C62" s="49">
        <f t="shared" si="46"/>
        <v>0</v>
      </c>
      <c r="D62" s="49">
        <f t="shared" si="47"/>
        <v>0</v>
      </c>
      <c r="E62" s="49">
        <f t="shared" si="48"/>
        <v>0</v>
      </c>
      <c r="F62" s="49">
        <f t="shared" si="49"/>
        <v>0</v>
      </c>
      <c r="G62" s="49">
        <f t="shared" si="50"/>
        <v>0</v>
      </c>
      <c r="H62" s="49">
        <f t="shared" si="51"/>
        <v>0</v>
      </c>
      <c r="I62" s="49">
        <f t="shared" si="52"/>
        <v>0</v>
      </c>
      <c r="J62" s="49">
        <f t="shared" si="53"/>
        <v>0</v>
      </c>
      <c r="K62" s="49">
        <f t="shared" si="54"/>
        <v>0</v>
      </c>
      <c r="L62" s="49">
        <f t="shared" si="55"/>
        <v>53428</v>
      </c>
      <c r="M62" s="49">
        <f t="shared" si="56"/>
        <v>0</v>
      </c>
      <c r="N62" s="49">
        <f t="shared" si="57"/>
        <v>0</v>
      </c>
      <c r="O62" s="49">
        <f t="shared" si="58"/>
        <v>0</v>
      </c>
      <c r="P62" s="49">
        <f t="shared" si="59"/>
        <v>0</v>
      </c>
      <c r="Q62" s="49">
        <f t="shared" si="60"/>
        <v>0</v>
      </c>
      <c r="R62" s="49">
        <f t="shared" si="61"/>
        <v>0</v>
      </c>
      <c r="S62" s="49">
        <f t="shared" si="62"/>
        <v>0</v>
      </c>
      <c r="T62" s="49">
        <f t="shared" si="63"/>
        <v>0</v>
      </c>
      <c r="U62" s="49">
        <f t="shared" si="64"/>
        <v>0</v>
      </c>
      <c r="V62" s="49">
        <f t="shared" si="65"/>
        <v>53428</v>
      </c>
      <c r="W62" s="49">
        <f t="shared" si="66"/>
        <v>116964</v>
      </c>
      <c r="X62" s="50">
        <f t="shared" si="22"/>
        <v>-63536</v>
      </c>
      <c r="Y62" s="48">
        <f t="shared" si="10"/>
        <v>-0.54320987654320985</v>
      </c>
      <c r="Z62" s="48"/>
    </row>
    <row r="63" spans="2:26" ht="12" customHeight="1" x14ac:dyDescent="0.25">
      <c r="B63" s="44" t="s">
        <v>65</v>
      </c>
      <c r="C63" s="49">
        <f t="shared" si="46"/>
        <v>0</v>
      </c>
      <c r="D63" s="49">
        <f t="shared" si="47"/>
        <v>0</v>
      </c>
      <c r="E63" s="49">
        <f t="shared" si="48"/>
        <v>0</v>
      </c>
      <c r="F63" s="49">
        <f t="shared" si="49"/>
        <v>0</v>
      </c>
      <c r="G63" s="49">
        <f t="shared" si="50"/>
        <v>0</v>
      </c>
      <c r="H63" s="49">
        <f t="shared" si="51"/>
        <v>0</v>
      </c>
      <c r="I63" s="49">
        <f t="shared" si="52"/>
        <v>0</v>
      </c>
      <c r="J63" s="49">
        <f t="shared" si="53"/>
        <v>0</v>
      </c>
      <c r="K63" s="49">
        <f t="shared" si="54"/>
        <v>1000</v>
      </c>
      <c r="L63" s="49">
        <f t="shared" si="55"/>
        <v>6946</v>
      </c>
      <c r="M63" s="49">
        <f t="shared" si="56"/>
        <v>0</v>
      </c>
      <c r="N63" s="49">
        <f t="shared" si="57"/>
        <v>0</v>
      </c>
      <c r="O63" s="49">
        <f t="shared" si="58"/>
        <v>0</v>
      </c>
      <c r="P63" s="49">
        <f t="shared" si="59"/>
        <v>0</v>
      </c>
      <c r="Q63" s="49">
        <f t="shared" si="60"/>
        <v>0</v>
      </c>
      <c r="R63" s="49">
        <f t="shared" si="61"/>
        <v>0</v>
      </c>
      <c r="S63" s="49">
        <f t="shared" si="62"/>
        <v>0</v>
      </c>
      <c r="T63" s="49">
        <f t="shared" si="63"/>
        <v>0</v>
      </c>
      <c r="U63" s="49">
        <f t="shared" si="64"/>
        <v>0</v>
      </c>
      <c r="V63" s="49">
        <f t="shared" si="65"/>
        <v>7946</v>
      </c>
      <c r="W63" s="49">
        <f t="shared" si="66"/>
        <v>8230</v>
      </c>
      <c r="X63" s="50">
        <f t="shared" si="22"/>
        <v>-284</v>
      </c>
      <c r="Y63" s="48">
        <f t="shared" si="10"/>
        <v>-3.450789793438639E-2</v>
      </c>
      <c r="Z63" s="48"/>
    </row>
    <row r="64" spans="2:26" ht="12" customHeight="1" x14ac:dyDescent="0.25">
      <c r="B64" s="44" t="s">
        <v>82</v>
      </c>
      <c r="C64" s="49">
        <f t="shared" si="46"/>
        <v>0</v>
      </c>
      <c r="D64" s="49">
        <f t="shared" si="47"/>
        <v>0</v>
      </c>
      <c r="E64" s="49">
        <f t="shared" si="48"/>
        <v>0</v>
      </c>
      <c r="F64" s="49">
        <f t="shared" si="49"/>
        <v>0</v>
      </c>
      <c r="G64" s="49">
        <f t="shared" si="50"/>
        <v>0</v>
      </c>
      <c r="H64" s="49">
        <f t="shared" si="51"/>
        <v>0</v>
      </c>
      <c r="I64" s="49">
        <f t="shared" si="52"/>
        <v>1378</v>
      </c>
      <c r="J64" s="49">
        <f t="shared" si="53"/>
        <v>0</v>
      </c>
      <c r="K64" s="49">
        <f t="shared" si="54"/>
        <v>2000</v>
      </c>
      <c r="L64" s="49">
        <f t="shared" si="55"/>
        <v>0</v>
      </c>
      <c r="M64" s="49">
        <f t="shared" si="56"/>
        <v>0</v>
      </c>
      <c r="N64" s="49">
        <f t="shared" si="57"/>
        <v>0</v>
      </c>
      <c r="O64" s="49">
        <f t="shared" si="58"/>
        <v>0</v>
      </c>
      <c r="P64" s="49">
        <f t="shared" si="59"/>
        <v>0</v>
      </c>
      <c r="Q64" s="49">
        <f t="shared" si="60"/>
        <v>0</v>
      </c>
      <c r="R64" s="49">
        <f t="shared" si="61"/>
        <v>0</v>
      </c>
      <c r="S64" s="49">
        <f t="shared" si="62"/>
        <v>0</v>
      </c>
      <c r="T64" s="49">
        <f t="shared" si="63"/>
        <v>0</v>
      </c>
      <c r="U64" s="49">
        <f t="shared" si="64"/>
        <v>0</v>
      </c>
      <c r="V64" s="49">
        <f t="shared" si="65"/>
        <v>3378</v>
      </c>
      <c r="W64" s="49">
        <f t="shared" si="66"/>
        <v>2682</v>
      </c>
      <c r="X64" s="50">
        <f t="shared" si="22"/>
        <v>696</v>
      </c>
      <c r="Y64" s="48">
        <f t="shared" si="10"/>
        <v>0.25950782997762861</v>
      </c>
      <c r="Z64" s="48"/>
    </row>
    <row r="65" spans="2:26" ht="12" customHeight="1" x14ac:dyDescent="0.25">
      <c r="B65" s="44" t="s">
        <v>83</v>
      </c>
      <c r="C65" s="49">
        <f t="shared" si="46"/>
        <v>0</v>
      </c>
      <c r="D65" s="49">
        <f t="shared" si="47"/>
        <v>0</v>
      </c>
      <c r="E65" s="49">
        <f t="shared" si="48"/>
        <v>0</v>
      </c>
      <c r="F65" s="49">
        <f t="shared" si="49"/>
        <v>0</v>
      </c>
      <c r="G65" s="49">
        <f t="shared" si="50"/>
        <v>0</v>
      </c>
      <c r="H65" s="49">
        <f t="shared" si="51"/>
        <v>0</v>
      </c>
      <c r="I65" s="49">
        <f t="shared" si="52"/>
        <v>0</v>
      </c>
      <c r="J65" s="49">
        <f t="shared" si="53"/>
        <v>0</v>
      </c>
      <c r="K65" s="49">
        <f t="shared" si="54"/>
        <v>0</v>
      </c>
      <c r="L65" s="49">
        <f t="shared" si="55"/>
        <v>0</v>
      </c>
      <c r="M65" s="49">
        <f t="shared" si="56"/>
        <v>0</v>
      </c>
      <c r="N65" s="49">
        <f t="shared" si="57"/>
        <v>0</v>
      </c>
      <c r="O65" s="49">
        <f t="shared" si="58"/>
        <v>0</v>
      </c>
      <c r="P65" s="49">
        <f t="shared" si="59"/>
        <v>8921481</v>
      </c>
      <c r="Q65" s="49">
        <f t="shared" si="60"/>
        <v>0</v>
      </c>
      <c r="R65" s="49">
        <f t="shared" si="61"/>
        <v>0</v>
      </c>
      <c r="S65" s="49">
        <f t="shared" si="62"/>
        <v>0</v>
      </c>
      <c r="T65" s="49">
        <f t="shared" si="63"/>
        <v>0</v>
      </c>
      <c r="U65" s="49">
        <f t="shared" si="64"/>
        <v>0</v>
      </c>
      <c r="V65" s="49">
        <f t="shared" si="65"/>
        <v>8921481</v>
      </c>
      <c r="W65" s="49">
        <f t="shared" si="66"/>
        <v>10000000</v>
      </c>
      <c r="X65" s="50">
        <f t="shared" si="22"/>
        <v>-1078519</v>
      </c>
      <c r="Y65" s="48">
        <f t="shared" si="10"/>
        <v>-0.1078519</v>
      </c>
      <c r="Z65" s="48"/>
    </row>
    <row r="66" spans="2:26" ht="12" customHeight="1" x14ac:dyDescent="0.25">
      <c r="B66" s="44" t="s">
        <v>84</v>
      </c>
      <c r="C66" s="49">
        <f t="shared" si="46"/>
        <v>0</v>
      </c>
      <c r="D66" s="49">
        <f t="shared" si="47"/>
        <v>0</v>
      </c>
      <c r="E66" s="49">
        <f t="shared" si="48"/>
        <v>0</v>
      </c>
      <c r="F66" s="49">
        <f t="shared" si="49"/>
        <v>0</v>
      </c>
      <c r="G66" s="49">
        <f t="shared" si="50"/>
        <v>0</v>
      </c>
      <c r="H66" s="49">
        <f t="shared" si="51"/>
        <v>0</v>
      </c>
      <c r="I66" s="49">
        <f t="shared" si="52"/>
        <v>0</v>
      </c>
      <c r="J66" s="49">
        <f t="shared" si="53"/>
        <v>0</v>
      </c>
      <c r="K66" s="49">
        <f t="shared" si="54"/>
        <v>0</v>
      </c>
      <c r="L66" s="49">
        <f t="shared" si="55"/>
        <v>0</v>
      </c>
      <c r="M66" s="49">
        <f t="shared" si="56"/>
        <v>0</v>
      </c>
      <c r="N66" s="49">
        <f t="shared" si="57"/>
        <v>0</v>
      </c>
      <c r="O66" s="49">
        <f t="shared" si="58"/>
        <v>0</v>
      </c>
      <c r="P66" s="49">
        <f t="shared" si="59"/>
        <v>0</v>
      </c>
      <c r="Q66" s="49">
        <f t="shared" si="60"/>
        <v>0</v>
      </c>
      <c r="R66" s="49">
        <f t="shared" si="61"/>
        <v>216634</v>
      </c>
      <c r="S66" s="49">
        <f t="shared" si="62"/>
        <v>0</v>
      </c>
      <c r="T66" s="49">
        <f t="shared" si="63"/>
        <v>0</v>
      </c>
      <c r="U66" s="49">
        <f t="shared" si="64"/>
        <v>0</v>
      </c>
      <c r="V66" s="49">
        <f t="shared" si="65"/>
        <v>216634</v>
      </c>
      <c r="W66" s="49">
        <f t="shared" si="66"/>
        <v>70640</v>
      </c>
      <c r="X66" s="50">
        <f t="shared" si="22"/>
        <v>145994</v>
      </c>
      <c r="Y66" s="48">
        <f t="shared" si="10"/>
        <v>2.0667327293318234</v>
      </c>
      <c r="Z66" s="48"/>
    </row>
    <row r="67" spans="2:26" ht="12" customHeight="1" x14ac:dyDescent="0.25">
      <c r="B67" s="44" t="s">
        <v>89</v>
      </c>
      <c r="C67" s="49">
        <f t="shared" si="46"/>
        <v>0</v>
      </c>
      <c r="D67" s="49">
        <f t="shared" si="47"/>
        <v>0</v>
      </c>
      <c r="E67" s="49">
        <f t="shared" si="48"/>
        <v>0</v>
      </c>
      <c r="F67" s="49">
        <f t="shared" si="49"/>
        <v>0</v>
      </c>
      <c r="G67" s="49">
        <f t="shared" si="50"/>
        <v>0</v>
      </c>
      <c r="H67" s="49">
        <f t="shared" si="51"/>
        <v>0</v>
      </c>
      <c r="I67" s="49">
        <f t="shared" si="52"/>
        <v>0</v>
      </c>
      <c r="J67" s="49">
        <f t="shared" si="53"/>
        <v>0</v>
      </c>
      <c r="K67" s="49">
        <f t="shared" si="54"/>
        <v>0</v>
      </c>
      <c r="L67" s="49">
        <f t="shared" si="55"/>
        <v>1696</v>
      </c>
      <c r="M67" s="49">
        <f t="shared" si="56"/>
        <v>0</v>
      </c>
      <c r="N67" s="49">
        <f t="shared" si="57"/>
        <v>0</v>
      </c>
      <c r="O67" s="49">
        <f t="shared" si="58"/>
        <v>4785</v>
      </c>
      <c r="P67" s="49">
        <f t="shared" si="59"/>
        <v>11068</v>
      </c>
      <c r="Q67" s="49">
        <f t="shared" si="60"/>
        <v>0</v>
      </c>
      <c r="R67" s="49">
        <f t="shared" si="61"/>
        <v>182700</v>
      </c>
      <c r="S67" s="49">
        <f t="shared" si="62"/>
        <v>0</v>
      </c>
      <c r="T67" s="49">
        <f t="shared" si="63"/>
        <v>0</v>
      </c>
      <c r="U67" s="49">
        <f t="shared" si="64"/>
        <v>72138</v>
      </c>
      <c r="V67" s="49">
        <f t="shared" si="65"/>
        <v>272387</v>
      </c>
      <c r="W67" s="49">
        <f t="shared" si="66"/>
        <v>240269</v>
      </c>
      <c r="X67" s="50">
        <f t="shared" si="22"/>
        <v>32118</v>
      </c>
      <c r="Y67" s="48">
        <f t="shared" si="10"/>
        <v>0.13367517241092275</v>
      </c>
      <c r="Z67" s="48"/>
    </row>
    <row r="68" spans="2:26" s="55" customFormat="1" ht="12" customHeight="1" x14ac:dyDescent="0.25">
      <c r="B68" s="51" t="s">
        <v>108</v>
      </c>
      <c r="C68" s="52">
        <f>SUM(C52:C67)</f>
        <v>65742</v>
      </c>
      <c r="D68" s="52">
        <f t="shared" ref="D68:W68" si="67">SUM(D52:D67)</f>
        <v>60676</v>
      </c>
      <c r="E68" s="52">
        <f t="shared" si="67"/>
        <v>11500</v>
      </c>
      <c r="F68" s="52">
        <f t="shared" si="67"/>
        <v>30362</v>
      </c>
      <c r="G68" s="52">
        <f t="shared" si="67"/>
        <v>10550</v>
      </c>
      <c r="H68" s="52">
        <f t="shared" si="67"/>
        <v>107549</v>
      </c>
      <c r="I68" s="52">
        <f t="shared" si="67"/>
        <v>32646</v>
      </c>
      <c r="J68" s="52">
        <f>SUM(J52:J67)</f>
        <v>94158</v>
      </c>
      <c r="K68" s="52">
        <f t="shared" si="67"/>
        <v>119904</v>
      </c>
      <c r="L68" s="52">
        <f t="shared" si="67"/>
        <v>125753</v>
      </c>
      <c r="M68" s="52">
        <f t="shared" si="67"/>
        <v>62413</v>
      </c>
      <c r="N68" s="52">
        <f t="shared" si="67"/>
        <v>34758</v>
      </c>
      <c r="O68" s="52">
        <f t="shared" si="67"/>
        <v>1176776</v>
      </c>
      <c r="P68" s="52">
        <f t="shared" si="67"/>
        <v>17404153</v>
      </c>
      <c r="Q68" s="52">
        <f t="shared" si="67"/>
        <v>399748</v>
      </c>
      <c r="R68" s="52">
        <f t="shared" si="67"/>
        <v>2971862</v>
      </c>
      <c r="S68" s="52">
        <f t="shared" si="67"/>
        <v>38976</v>
      </c>
      <c r="T68" s="52">
        <f t="shared" si="67"/>
        <v>21243</v>
      </c>
      <c r="U68" s="52">
        <f t="shared" si="67"/>
        <v>198275</v>
      </c>
      <c r="V68" s="52">
        <f>SUM(V52:V67)</f>
        <v>22967044</v>
      </c>
      <c r="W68" s="52">
        <f t="shared" si="67"/>
        <v>22363292</v>
      </c>
      <c r="X68" s="52">
        <f>SUM(X52:X67)</f>
        <v>603752</v>
      </c>
      <c r="Y68" s="53">
        <f t="shared" si="10"/>
        <v>2.6997456367336258E-2</v>
      </c>
      <c r="Z68" s="53"/>
    </row>
    <row r="69" spans="2:26" ht="12" customHeight="1" x14ac:dyDescent="0.25">
      <c r="B69" s="44" t="s">
        <v>75</v>
      </c>
      <c r="C69" s="49">
        <f t="shared" ref="C69:C71" si="68">IFERROR(VLOOKUP(B69,$B$81:$C$135,2,FALSE),0)</f>
        <v>0</v>
      </c>
      <c r="D69" s="49">
        <f t="shared" ref="D69:D71" si="69">IFERROR(VLOOKUP($B69,$B$81:$D$135,3,FALSE),0)</f>
        <v>0</v>
      </c>
      <c r="E69" s="49">
        <f t="shared" ref="E69:E71" si="70">IFERROR(VLOOKUP($B69,$B$81:$E$135,4,FALSE),0)</f>
        <v>0</v>
      </c>
      <c r="F69" s="49">
        <f t="shared" ref="F69:F71" si="71">IFERROR(VLOOKUP($B69,$B$81:$F$135,5,FALSE),0)</f>
        <v>0</v>
      </c>
      <c r="G69" s="49">
        <f t="shared" ref="G69:G71" si="72">IFERROR(VLOOKUP($B69,$B$81:$G$135,6,FALSE),0)</f>
        <v>0</v>
      </c>
      <c r="H69" s="49">
        <f t="shared" ref="H69:H71" si="73">IFERROR(VLOOKUP($B69,$B$81:$H$135,7,FALSE),0)</f>
        <v>0</v>
      </c>
      <c r="I69" s="49">
        <f t="shared" ref="I69:I71" si="74">IFERROR(VLOOKUP($B69,$B$81:$I$135,8,FALSE),0)</f>
        <v>0</v>
      </c>
      <c r="J69" s="49">
        <f t="shared" ref="J69:J71" si="75">IFERROR(VLOOKUP($B69,$B$81:$J$135,9,FALSE),0)</f>
        <v>0</v>
      </c>
      <c r="K69" s="49">
        <f t="shared" ref="K69:K71" si="76">IFERROR(VLOOKUP($B69,$B$81:$K$135,10,FALSE),0)</f>
        <v>0</v>
      </c>
      <c r="L69" s="49">
        <f t="shared" ref="L69:L71" si="77">IFERROR(VLOOKUP($B69,$B$81:$L$135,11,FALSE),0)</f>
        <v>0</v>
      </c>
      <c r="M69" s="49">
        <f t="shared" ref="M69:M71" si="78">IFERROR(VLOOKUP($B69,$B$81:$M$135,12,FALSE),0)</f>
        <v>0</v>
      </c>
      <c r="N69" s="49">
        <f t="shared" ref="N69:N71" si="79">IFERROR(VLOOKUP($B69,$B$81:$N$135,13,FALSE),0)</f>
        <v>0</v>
      </c>
      <c r="O69" s="49">
        <f t="shared" ref="O69:O71" si="80">IFERROR(VLOOKUP($B69,$B$81:$O$135,14,FALSE),0)</f>
        <v>0</v>
      </c>
      <c r="P69" s="49">
        <f t="shared" ref="P69:P71" si="81">IFERROR(VLOOKUP($B69,$B$81:$P$135,15,FALSE),0)</f>
        <v>0</v>
      </c>
      <c r="Q69" s="49">
        <f t="shared" ref="Q69:Q71" si="82">IFERROR(VLOOKUP($B69,$B$81:$Q$135,16,FALSE),0)</f>
        <v>0</v>
      </c>
      <c r="R69" s="49">
        <f t="shared" ref="R69:R71" si="83">IFERROR(VLOOKUP($B69,$B$81:$R$135,17,FALSE),0)</f>
        <v>1086466</v>
      </c>
      <c r="S69" s="49">
        <f t="shared" ref="S69:S71" si="84">IFERROR(VLOOKUP($B69,$B$81:$S$135,18,FALSE),0)</f>
        <v>0</v>
      </c>
      <c r="T69" s="49">
        <f t="shared" ref="T69:T71" si="85">IFERROR(VLOOKUP($B69,$B$81:$T$135,19,FALSE),0)</f>
        <v>0</v>
      </c>
      <c r="U69" s="49">
        <f t="shared" ref="U69:U71" si="86">IFERROR(VLOOKUP($B69,$B$81:$U$135,20,FALSE),0)</f>
        <v>0</v>
      </c>
      <c r="V69" s="49">
        <f t="shared" ref="V69:V71" si="87">SUM(C69:U69)</f>
        <v>1086466</v>
      </c>
      <c r="W69" s="49">
        <f t="shared" ref="W69:W71" si="88">IFERROR(VLOOKUP($B69,$B$81:$W$135,22,FALSE),0)</f>
        <v>1010198</v>
      </c>
      <c r="X69" s="50">
        <f t="shared" si="22"/>
        <v>76268</v>
      </c>
      <c r="Y69" s="48">
        <f t="shared" si="10"/>
        <v>7.5498070675253756E-2</v>
      </c>
      <c r="Z69" s="48"/>
    </row>
    <row r="70" spans="2:26" ht="12" customHeight="1" x14ac:dyDescent="0.25">
      <c r="B70" s="44" t="s">
        <v>55</v>
      </c>
      <c r="C70" s="49">
        <f t="shared" si="68"/>
        <v>0</v>
      </c>
      <c r="D70" s="49">
        <f t="shared" si="69"/>
        <v>0</v>
      </c>
      <c r="E70" s="49">
        <f t="shared" si="70"/>
        <v>0</v>
      </c>
      <c r="F70" s="49">
        <f t="shared" si="71"/>
        <v>0</v>
      </c>
      <c r="G70" s="49">
        <f t="shared" si="72"/>
        <v>0</v>
      </c>
      <c r="H70" s="49">
        <f t="shared" si="73"/>
        <v>0</v>
      </c>
      <c r="I70" s="49">
        <f>IFERROR(VLOOKUP($B70,$B$81:$I$135,8,FALSE),0)</f>
        <v>0</v>
      </c>
      <c r="J70" s="49">
        <f t="shared" si="75"/>
        <v>0</v>
      </c>
      <c r="K70" s="49">
        <f t="shared" si="76"/>
        <v>0</v>
      </c>
      <c r="L70" s="49">
        <f t="shared" si="77"/>
        <v>0</v>
      </c>
      <c r="M70" s="49">
        <f t="shared" si="78"/>
        <v>110000</v>
      </c>
      <c r="N70" s="49">
        <f t="shared" si="79"/>
        <v>0</v>
      </c>
      <c r="O70" s="49">
        <f t="shared" si="80"/>
        <v>52808</v>
      </c>
      <c r="P70" s="49">
        <f t="shared" si="81"/>
        <v>0</v>
      </c>
      <c r="Q70" s="49">
        <f t="shared" si="82"/>
        <v>0</v>
      </c>
      <c r="R70" s="49">
        <f t="shared" si="83"/>
        <v>171350</v>
      </c>
      <c r="S70" s="49">
        <f t="shared" si="84"/>
        <v>0</v>
      </c>
      <c r="T70" s="49">
        <f t="shared" si="85"/>
        <v>0</v>
      </c>
      <c r="U70" s="49">
        <f t="shared" si="86"/>
        <v>0</v>
      </c>
      <c r="V70" s="49">
        <f t="shared" si="87"/>
        <v>334158</v>
      </c>
      <c r="W70" s="49">
        <f t="shared" si="88"/>
        <v>152916</v>
      </c>
      <c r="X70" s="50">
        <f t="shared" si="22"/>
        <v>181242</v>
      </c>
      <c r="Y70" s="48">
        <f>IF(W70=0,100%,X70/W70)</f>
        <v>1.1852389547202387</v>
      </c>
      <c r="Z70" s="48"/>
    </row>
    <row r="71" spans="2:26" ht="12" customHeight="1" x14ac:dyDescent="0.25">
      <c r="B71" s="44" t="s">
        <v>78</v>
      </c>
      <c r="C71" s="49">
        <f t="shared" si="68"/>
        <v>0</v>
      </c>
      <c r="D71" s="49">
        <f t="shared" si="69"/>
        <v>0</v>
      </c>
      <c r="E71" s="49">
        <f t="shared" si="70"/>
        <v>0</v>
      </c>
      <c r="F71" s="49">
        <f t="shared" si="71"/>
        <v>0</v>
      </c>
      <c r="G71" s="49">
        <f t="shared" si="72"/>
        <v>0</v>
      </c>
      <c r="H71" s="49">
        <f t="shared" si="73"/>
        <v>0</v>
      </c>
      <c r="I71" s="49">
        <f t="shared" si="74"/>
        <v>0</v>
      </c>
      <c r="J71" s="49">
        <f t="shared" si="75"/>
        <v>0</v>
      </c>
      <c r="K71" s="49">
        <f t="shared" si="76"/>
        <v>0</v>
      </c>
      <c r="L71" s="49">
        <f t="shared" si="77"/>
        <v>0</v>
      </c>
      <c r="M71" s="49">
        <f t="shared" si="78"/>
        <v>0</v>
      </c>
      <c r="N71" s="49">
        <f t="shared" si="79"/>
        <v>0</v>
      </c>
      <c r="O71" s="49">
        <f t="shared" si="80"/>
        <v>0</v>
      </c>
      <c r="P71" s="49">
        <f t="shared" si="81"/>
        <v>0</v>
      </c>
      <c r="Q71" s="49">
        <f t="shared" si="82"/>
        <v>0</v>
      </c>
      <c r="R71" s="49">
        <f t="shared" si="83"/>
        <v>1175507</v>
      </c>
      <c r="S71" s="49">
        <f t="shared" si="84"/>
        <v>0</v>
      </c>
      <c r="T71" s="49">
        <f t="shared" si="85"/>
        <v>0</v>
      </c>
      <c r="U71" s="49">
        <f t="shared" si="86"/>
        <v>0</v>
      </c>
      <c r="V71" s="49">
        <f t="shared" si="87"/>
        <v>1175507</v>
      </c>
      <c r="W71" s="49">
        <f t="shared" si="88"/>
        <v>1274902</v>
      </c>
      <c r="X71" s="50">
        <f t="shared" si="22"/>
        <v>-99395</v>
      </c>
      <c r="Y71" s="48">
        <f t="shared" si="10"/>
        <v>-7.7962855184163168E-2</v>
      </c>
      <c r="Z71" s="48"/>
    </row>
    <row r="72" spans="2:26" s="55" customFormat="1" x14ac:dyDescent="0.25">
      <c r="B72" s="51" t="s">
        <v>109</v>
      </c>
      <c r="C72" s="52">
        <f>SUM(C69:C71)</f>
        <v>0</v>
      </c>
      <c r="D72" s="52">
        <f t="shared" ref="D72:X72" si="89">SUM(D69:D71)</f>
        <v>0</v>
      </c>
      <c r="E72" s="52">
        <f t="shared" si="89"/>
        <v>0</v>
      </c>
      <c r="F72" s="52">
        <f t="shared" si="89"/>
        <v>0</v>
      </c>
      <c r="G72" s="52">
        <f t="shared" si="89"/>
        <v>0</v>
      </c>
      <c r="H72" s="52">
        <f t="shared" si="89"/>
        <v>0</v>
      </c>
      <c r="I72" s="52">
        <f t="shared" si="89"/>
        <v>0</v>
      </c>
      <c r="J72" s="52">
        <f>SUM(J69:J71)</f>
        <v>0</v>
      </c>
      <c r="K72" s="52">
        <f t="shared" si="89"/>
        <v>0</v>
      </c>
      <c r="L72" s="52">
        <f t="shared" si="89"/>
        <v>0</v>
      </c>
      <c r="M72" s="52">
        <f t="shared" si="89"/>
        <v>110000</v>
      </c>
      <c r="N72" s="52">
        <f t="shared" si="89"/>
        <v>0</v>
      </c>
      <c r="O72" s="52">
        <f t="shared" si="89"/>
        <v>52808</v>
      </c>
      <c r="P72" s="52">
        <f t="shared" si="89"/>
        <v>0</v>
      </c>
      <c r="Q72" s="52">
        <f t="shared" si="89"/>
        <v>0</v>
      </c>
      <c r="R72" s="52">
        <f t="shared" si="89"/>
        <v>2433323</v>
      </c>
      <c r="S72" s="52">
        <f t="shared" si="89"/>
        <v>0</v>
      </c>
      <c r="T72" s="52">
        <f t="shared" si="89"/>
        <v>0</v>
      </c>
      <c r="U72" s="52">
        <f t="shared" si="89"/>
        <v>0</v>
      </c>
      <c r="V72" s="52">
        <f t="shared" si="89"/>
        <v>2596131</v>
      </c>
      <c r="W72" s="52">
        <f t="shared" si="89"/>
        <v>2438016</v>
      </c>
      <c r="X72" s="52">
        <f t="shared" si="89"/>
        <v>158115</v>
      </c>
      <c r="Y72" s="53">
        <f t="shared" si="10"/>
        <v>6.4853963222554739E-2</v>
      </c>
      <c r="Z72" s="53"/>
    </row>
    <row r="73" spans="2:26" ht="7.5" customHeight="1" thickBot="1" x14ac:dyDescent="0.3">
      <c r="B73" s="56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8"/>
      <c r="Z73" s="58"/>
    </row>
    <row r="74" spans="2:26" ht="15" customHeight="1" thickBot="1" x14ac:dyDescent="0.3">
      <c r="B74" s="59" t="s">
        <v>105</v>
      </c>
      <c r="C74" s="60">
        <f>C24+C51+C68+C72</f>
        <v>546903</v>
      </c>
      <c r="D74" s="60">
        <f t="shared" ref="D74:U74" si="90">D24+D51+D68+D72</f>
        <v>137715</v>
      </c>
      <c r="E74" s="60">
        <f t="shared" si="90"/>
        <v>1093962</v>
      </c>
      <c r="F74" s="60">
        <f t="shared" si="90"/>
        <v>1489641</v>
      </c>
      <c r="G74" s="60">
        <f t="shared" si="90"/>
        <v>1142991</v>
      </c>
      <c r="H74" s="60">
        <f t="shared" si="90"/>
        <v>1374414</v>
      </c>
      <c r="I74" s="60">
        <f t="shared" si="90"/>
        <v>878347</v>
      </c>
      <c r="J74" s="60">
        <f>J24+J51+J68+J72</f>
        <v>2560694</v>
      </c>
      <c r="K74" s="60">
        <f t="shared" si="90"/>
        <v>1233270</v>
      </c>
      <c r="L74" s="60">
        <f t="shared" si="90"/>
        <v>3516240</v>
      </c>
      <c r="M74" s="60">
        <f t="shared" si="90"/>
        <v>12020650</v>
      </c>
      <c r="N74" s="60">
        <f t="shared" si="90"/>
        <v>696992</v>
      </c>
      <c r="O74" s="60">
        <f t="shared" si="90"/>
        <v>13104810</v>
      </c>
      <c r="P74" s="60">
        <f t="shared" si="90"/>
        <v>46542573</v>
      </c>
      <c r="Q74" s="60">
        <f t="shared" si="90"/>
        <v>17447699</v>
      </c>
      <c r="R74" s="60">
        <f>R24+R51+R68+R72-1</f>
        <v>25057513</v>
      </c>
      <c r="S74" s="60">
        <f t="shared" si="90"/>
        <v>574827</v>
      </c>
      <c r="T74" s="60">
        <f t="shared" si="90"/>
        <v>1411373</v>
      </c>
      <c r="U74" s="60">
        <f t="shared" si="90"/>
        <v>11809386</v>
      </c>
      <c r="V74" s="60">
        <f>V24+V51+V68+V72-1</f>
        <v>142640000</v>
      </c>
      <c r="W74" s="60">
        <f>W24+W51+W68+W72+3</f>
        <v>137513520</v>
      </c>
      <c r="X74" s="60">
        <f>V74-W74</f>
        <v>5126480</v>
      </c>
      <c r="Y74" s="61">
        <f>IF(W74=0,100%,X74/W74)</f>
        <v>3.7279825285542835E-2</v>
      </c>
      <c r="Z74" s="61"/>
    </row>
    <row r="75" spans="2:26" s="63" customFormat="1" ht="3" customHeight="1" thickTop="1" x14ac:dyDescent="0.25">
      <c r="B75" s="62"/>
    </row>
    <row r="76" spans="2:26" s="63" customFormat="1" x14ac:dyDescent="0.25"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</row>
    <row r="77" spans="2:26" x14ac:dyDescent="0.2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</row>
    <row r="78" spans="2:26" x14ac:dyDescent="0.25">
      <c r="B78" s="65"/>
    </row>
    <row r="79" spans="2:26" ht="27" hidden="1" x14ac:dyDescent="0.25">
      <c r="B79" s="66" t="s">
        <v>0</v>
      </c>
      <c r="C79" s="67" t="s">
        <v>1</v>
      </c>
      <c r="D79" s="67" t="s">
        <v>2</v>
      </c>
      <c r="E79" s="67" t="s">
        <v>3</v>
      </c>
      <c r="F79" s="67" t="s">
        <v>4</v>
      </c>
      <c r="G79" s="67" t="s">
        <v>5</v>
      </c>
      <c r="H79" s="67" t="s">
        <v>6</v>
      </c>
      <c r="I79" s="67" t="s">
        <v>7</v>
      </c>
      <c r="J79" s="67" t="s">
        <v>8</v>
      </c>
      <c r="K79" s="67" t="s">
        <v>9</v>
      </c>
      <c r="L79" s="67" t="s">
        <v>10</v>
      </c>
      <c r="M79" s="67" t="s">
        <v>11</v>
      </c>
      <c r="N79" s="67" t="s">
        <v>12</v>
      </c>
      <c r="O79" s="67" t="s">
        <v>13</v>
      </c>
      <c r="P79" s="67" t="s">
        <v>14</v>
      </c>
      <c r="Q79" s="67" t="s">
        <v>15</v>
      </c>
      <c r="R79" s="67" t="s">
        <v>16</v>
      </c>
      <c r="S79" s="67" t="s">
        <v>17</v>
      </c>
      <c r="T79" s="67" t="s">
        <v>18</v>
      </c>
      <c r="U79" s="67" t="s">
        <v>19</v>
      </c>
      <c r="V79" s="68" t="s">
        <v>20</v>
      </c>
      <c r="W79" s="68" t="s">
        <v>21</v>
      </c>
      <c r="X79" s="69" t="s">
        <v>22</v>
      </c>
      <c r="Y79" s="69" t="s">
        <v>23</v>
      </c>
    </row>
    <row r="80" spans="2:26" ht="15.75" hidden="1" thickBot="1" x14ac:dyDescent="0.3"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2:25" hidden="1" x14ac:dyDescent="0.25">
      <c r="B81" s="44" t="s">
        <v>24</v>
      </c>
      <c r="C81" s="45">
        <v>316095</v>
      </c>
      <c r="D81" s="45">
        <v>67570</v>
      </c>
      <c r="E81" s="45">
        <v>232565</v>
      </c>
      <c r="F81" s="45">
        <v>1296098</v>
      </c>
      <c r="G81" s="45">
        <v>410130</v>
      </c>
      <c r="H81" s="45">
        <v>772263</v>
      </c>
      <c r="I81" s="45">
        <v>622608</v>
      </c>
      <c r="J81" s="45">
        <v>572651</v>
      </c>
      <c r="K81" s="45">
        <v>931321</v>
      </c>
      <c r="L81" s="45">
        <v>1211587</v>
      </c>
      <c r="M81" s="45">
        <v>-840800</v>
      </c>
      <c r="N81" s="45">
        <v>392012</v>
      </c>
      <c r="O81" s="45">
        <v>4185032</v>
      </c>
      <c r="P81" s="45">
        <v>6020744</v>
      </c>
      <c r="Q81" s="45">
        <v>6081450</v>
      </c>
      <c r="R81" s="45">
        <v>8013123</v>
      </c>
      <c r="S81" s="45">
        <v>476701</v>
      </c>
      <c r="T81" s="45">
        <v>1213162</v>
      </c>
      <c r="U81" s="45">
        <v>3994487</v>
      </c>
      <c r="V81" s="45">
        <v>35968798</v>
      </c>
      <c r="W81" s="45">
        <v>32848177</v>
      </c>
      <c r="X81" s="45">
        <v>3120621</v>
      </c>
      <c r="Y81" s="70">
        <v>9.5000000000000001E-2</v>
      </c>
    </row>
    <row r="82" spans="2:25" hidden="1" x14ac:dyDescent="0.25">
      <c r="B82" s="44" t="s">
        <v>25</v>
      </c>
      <c r="C82" s="49">
        <v>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1137601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>
        <v>1137601</v>
      </c>
      <c r="W82" s="49">
        <v>779957</v>
      </c>
      <c r="X82" s="49">
        <v>357644</v>
      </c>
      <c r="Y82" s="70">
        <v>0.45900000000000002</v>
      </c>
    </row>
    <row r="83" spans="2:25" hidden="1" x14ac:dyDescent="0.25">
      <c r="B83" s="44" t="s">
        <v>26</v>
      </c>
      <c r="C83" s="49">
        <v>0</v>
      </c>
      <c r="D83" s="49">
        <v>0</v>
      </c>
      <c r="E83" s="49">
        <v>0</v>
      </c>
      <c r="F83" s="49">
        <v>0</v>
      </c>
      <c r="G83" s="49">
        <v>0</v>
      </c>
      <c r="H83" s="49">
        <v>32439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63000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>
        <v>95439</v>
      </c>
      <c r="W83" s="49">
        <v>23917</v>
      </c>
      <c r="X83" s="49">
        <v>71522</v>
      </c>
      <c r="Y83" s="70">
        <v>2.99</v>
      </c>
    </row>
    <row r="84" spans="2:25" hidden="1" x14ac:dyDescent="0.25">
      <c r="B84" s="44" t="s">
        <v>27</v>
      </c>
      <c r="C84" s="49">
        <v>0</v>
      </c>
      <c r="D84" s="49">
        <v>0</v>
      </c>
      <c r="E84" s="49">
        <v>0</v>
      </c>
      <c r="F84" s="49">
        <v>700</v>
      </c>
      <c r="G84" s="49">
        <v>0</v>
      </c>
      <c r="H84" s="49">
        <v>2047</v>
      </c>
      <c r="I84" s="49">
        <v>0</v>
      </c>
      <c r="J84" s="49">
        <v>0</v>
      </c>
      <c r="K84" s="49">
        <v>1984</v>
      </c>
      <c r="L84" s="49">
        <v>2714</v>
      </c>
      <c r="M84" s="49">
        <v>0</v>
      </c>
      <c r="N84" s="49">
        <v>0</v>
      </c>
      <c r="O84" s="49">
        <v>57906</v>
      </c>
      <c r="P84" s="49">
        <v>138899</v>
      </c>
      <c r="Q84" s="49">
        <v>90000</v>
      </c>
      <c r="R84" s="49">
        <v>340000</v>
      </c>
      <c r="S84" s="49">
        <v>0</v>
      </c>
      <c r="T84" s="49">
        <v>0</v>
      </c>
      <c r="U84" s="49">
        <v>23421</v>
      </c>
      <c r="V84" s="49">
        <v>657671</v>
      </c>
      <c r="W84" s="49">
        <v>611286</v>
      </c>
      <c r="X84" s="49">
        <v>46385</v>
      </c>
      <c r="Y84" s="70">
        <v>7.5999999999999998E-2</v>
      </c>
    </row>
    <row r="85" spans="2:25" hidden="1" x14ac:dyDescent="0.25">
      <c r="B85" s="44" t="s">
        <v>28</v>
      </c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9042372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>
        <v>9042372</v>
      </c>
      <c r="W85" s="49">
        <v>6022538</v>
      </c>
      <c r="X85" s="49">
        <v>3019834</v>
      </c>
      <c r="Y85" s="70">
        <v>0.501</v>
      </c>
    </row>
    <row r="86" spans="2:25" hidden="1" x14ac:dyDescent="0.25">
      <c r="B86" s="44" t="s">
        <v>29</v>
      </c>
      <c r="C86" s="49">
        <v>33023</v>
      </c>
      <c r="D86" s="49">
        <v>8419</v>
      </c>
      <c r="E86" s="49">
        <v>28467</v>
      </c>
      <c r="F86" s="49">
        <v>160840</v>
      </c>
      <c r="G86" s="49">
        <v>51441</v>
      </c>
      <c r="H86" s="49">
        <v>100194</v>
      </c>
      <c r="I86" s="49">
        <v>77324</v>
      </c>
      <c r="J86" s="49">
        <v>73461</v>
      </c>
      <c r="K86" s="49">
        <v>116059</v>
      </c>
      <c r="L86" s="49">
        <v>154513</v>
      </c>
      <c r="M86" s="49">
        <v>-104550</v>
      </c>
      <c r="N86" s="49">
        <v>49442</v>
      </c>
      <c r="O86" s="49">
        <v>531886</v>
      </c>
      <c r="P86" s="49">
        <v>757410</v>
      </c>
      <c r="Q86" s="49">
        <v>760940</v>
      </c>
      <c r="R86" s="49">
        <v>1007889</v>
      </c>
      <c r="S86" s="49">
        <v>58984</v>
      </c>
      <c r="T86" s="49">
        <v>147084</v>
      </c>
      <c r="U86" s="49">
        <v>491628</v>
      </c>
      <c r="V86" s="49">
        <v>4504454</v>
      </c>
      <c r="W86" s="49">
        <v>4356610</v>
      </c>
      <c r="X86" s="49">
        <v>147844</v>
      </c>
      <c r="Y86" s="70">
        <v>3.4000000000000002E-2</v>
      </c>
    </row>
    <row r="87" spans="2:25" hidden="1" x14ac:dyDescent="0.25">
      <c r="B87" s="44" t="s">
        <v>30</v>
      </c>
      <c r="C87" s="49">
        <v>0</v>
      </c>
      <c r="D87" s="49">
        <v>0</v>
      </c>
      <c r="E87" s="49">
        <v>0</v>
      </c>
      <c r="F87" s="49">
        <v>0</v>
      </c>
      <c r="G87" s="49">
        <v>0</v>
      </c>
      <c r="H87" s="49">
        <v>4056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8102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49">
        <v>12158</v>
      </c>
      <c r="W87" s="49">
        <v>3167</v>
      </c>
      <c r="X87" s="49">
        <v>8991</v>
      </c>
      <c r="Y87" s="70">
        <v>2.839</v>
      </c>
    </row>
    <row r="88" spans="2:25" hidden="1" x14ac:dyDescent="0.25">
      <c r="B88" s="44" t="s">
        <v>31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143090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143090</v>
      </c>
      <c r="W88" s="49">
        <v>148080</v>
      </c>
      <c r="X88" s="49">
        <v>-4990</v>
      </c>
      <c r="Y88" s="70">
        <v>-3.4000000000000002E-2</v>
      </c>
    </row>
    <row r="89" spans="2:25" hidden="1" x14ac:dyDescent="0.25">
      <c r="B89" s="44" t="s">
        <v>32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49">
        <v>25894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  <c r="T89" s="49">
        <v>0</v>
      </c>
      <c r="U89" s="49">
        <v>0</v>
      </c>
      <c r="V89" s="49">
        <v>25894</v>
      </c>
      <c r="W89" s="49">
        <v>32000</v>
      </c>
      <c r="X89" s="49">
        <v>-6106</v>
      </c>
      <c r="Y89" s="70">
        <v>-0.191</v>
      </c>
    </row>
    <row r="90" spans="2:25" hidden="1" x14ac:dyDescent="0.25">
      <c r="B90" s="44" t="s">
        <v>33</v>
      </c>
      <c r="C90" s="49">
        <v>0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200000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>
        <v>200000</v>
      </c>
      <c r="W90" s="49">
        <v>200000</v>
      </c>
      <c r="X90" s="49">
        <v>0</v>
      </c>
      <c r="Y90" s="70">
        <v>0</v>
      </c>
    </row>
    <row r="91" spans="2:25" hidden="1" x14ac:dyDescent="0.25">
      <c r="B91" s="44" t="s">
        <v>34</v>
      </c>
      <c r="C91" s="49">
        <v>0</v>
      </c>
      <c r="D91" s="49">
        <v>0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1920000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>
        <v>1920000</v>
      </c>
      <c r="W91" s="49">
        <v>3724831</v>
      </c>
      <c r="X91" s="49">
        <v>-1804831</v>
      </c>
      <c r="Y91" s="70">
        <v>-0.48499999999999999</v>
      </c>
    </row>
    <row r="92" spans="2:25" hidden="1" x14ac:dyDescent="0.25">
      <c r="B92" s="44" t="s">
        <v>35</v>
      </c>
      <c r="C92" s="49">
        <v>0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350524</v>
      </c>
      <c r="N92" s="49">
        <v>0</v>
      </c>
      <c r="O92" s="49">
        <v>0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>
        <v>350524</v>
      </c>
      <c r="W92" s="49">
        <v>323960</v>
      </c>
      <c r="X92" s="49">
        <v>26564</v>
      </c>
      <c r="Y92" s="70">
        <v>8.2000000000000003E-2</v>
      </c>
    </row>
    <row r="93" spans="2:25" hidden="1" x14ac:dyDescent="0.25">
      <c r="B93" s="44" t="s">
        <v>36</v>
      </c>
      <c r="C93" s="49">
        <v>2046</v>
      </c>
      <c r="D93" s="49">
        <v>45842</v>
      </c>
      <c r="E93" s="49">
        <v>0</v>
      </c>
      <c r="F93" s="49">
        <v>2200</v>
      </c>
      <c r="G93" s="49">
        <v>0</v>
      </c>
      <c r="H93" s="49">
        <v>6643</v>
      </c>
      <c r="I93" s="49">
        <v>565</v>
      </c>
      <c r="J93" s="49">
        <v>0</v>
      </c>
      <c r="K93" s="49">
        <v>1349</v>
      </c>
      <c r="L93" s="49">
        <v>11688</v>
      </c>
      <c r="M93" s="49">
        <v>0</v>
      </c>
      <c r="N93" s="49">
        <v>6360</v>
      </c>
      <c r="O93" s="49">
        <v>9104</v>
      </c>
      <c r="P93" s="49">
        <v>11080</v>
      </c>
      <c r="Q93" s="49">
        <v>0</v>
      </c>
      <c r="R93" s="49">
        <v>2100</v>
      </c>
      <c r="S93" s="49">
        <v>880</v>
      </c>
      <c r="T93" s="49">
        <v>0</v>
      </c>
      <c r="U93" s="49">
        <v>0</v>
      </c>
      <c r="V93" s="49">
        <v>99857</v>
      </c>
      <c r="W93" s="49">
        <v>105718</v>
      </c>
      <c r="X93" s="49">
        <v>-5861</v>
      </c>
      <c r="Y93" s="70">
        <v>-5.5E-2</v>
      </c>
    </row>
    <row r="94" spans="2:25" hidden="1" x14ac:dyDescent="0.25">
      <c r="B94" s="44" t="s">
        <v>37</v>
      </c>
      <c r="C94" s="49">
        <v>120176</v>
      </c>
      <c r="D94" s="49">
        <v>0</v>
      </c>
      <c r="E94" s="49">
        <v>450000</v>
      </c>
      <c r="F94" s="49">
        <v>900</v>
      </c>
      <c r="G94" s="49">
        <v>50700</v>
      </c>
      <c r="H94" s="49">
        <v>127644</v>
      </c>
      <c r="I94" s="49">
        <v>42995</v>
      </c>
      <c r="J94" s="49">
        <v>0</v>
      </c>
      <c r="K94" s="49">
        <v>1809</v>
      </c>
      <c r="L94" s="49">
        <v>1014637</v>
      </c>
      <c r="M94" s="49">
        <v>0</v>
      </c>
      <c r="N94" s="49">
        <v>127198</v>
      </c>
      <c r="O94" s="49">
        <v>6331136</v>
      </c>
      <c r="P94" s="49">
        <v>1629274</v>
      </c>
      <c r="Q94" s="49">
        <v>93402</v>
      </c>
      <c r="R94" s="49">
        <v>100000</v>
      </c>
      <c r="S94" s="49">
        <v>0</v>
      </c>
      <c r="T94" s="49">
        <v>29480</v>
      </c>
      <c r="U94" s="49">
        <v>39461</v>
      </c>
      <c r="V94" s="49">
        <v>10158812</v>
      </c>
      <c r="W94" s="49">
        <v>14347235</v>
      </c>
      <c r="X94" s="49">
        <v>-4188423</v>
      </c>
      <c r="Y94" s="70">
        <v>-0.29199999999999998</v>
      </c>
    </row>
    <row r="95" spans="2:25" hidden="1" x14ac:dyDescent="0.25">
      <c r="B95" s="44" t="s">
        <v>38</v>
      </c>
      <c r="C95" s="49">
        <v>0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1820000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>
        <v>1820000</v>
      </c>
      <c r="W95" s="49">
        <v>1700000</v>
      </c>
      <c r="X95" s="49">
        <v>120000</v>
      </c>
      <c r="Y95" s="70">
        <v>7.0999999999999994E-2</v>
      </c>
    </row>
    <row r="96" spans="2:25" hidden="1" x14ac:dyDescent="0.25">
      <c r="B96" s="44" t="s">
        <v>39</v>
      </c>
      <c r="C96" s="49">
        <v>0</v>
      </c>
      <c r="D96" s="49">
        <v>0</v>
      </c>
      <c r="E96" s="49">
        <v>0</v>
      </c>
      <c r="F96" s="49">
        <v>0</v>
      </c>
      <c r="G96" s="49">
        <v>0</v>
      </c>
      <c r="H96" s="49">
        <v>0</v>
      </c>
      <c r="I96" s="49">
        <v>102281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49">
        <v>0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>
        <v>102281</v>
      </c>
      <c r="W96" s="49">
        <v>100891</v>
      </c>
      <c r="X96" s="49">
        <v>1390</v>
      </c>
      <c r="Y96" s="70">
        <v>1.4E-2</v>
      </c>
    </row>
    <row r="97" spans="2:25" hidden="1" x14ac:dyDescent="0.25">
      <c r="B97" s="44" t="s">
        <v>40</v>
      </c>
      <c r="C97" s="49">
        <v>0</v>
      </c>
      <c r="D97" s="49">
        <v>0</v>
      </c>
      <c r="E97" s="49">
        <v>300000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300000</v>
      </c>
      <c r="W97" s="49">
        <v>360000</v>
      </c>
      <c r="X97" s="49">
        <v>-60000</v>
      </c>
      <c r="Y97" s="70">
        <v>-0.16700000000000001</v>
      </c>
    </row>
    <row r="98" spans="2:25" hidden="1" x14ac:dyDescent="0.25">
      <c r="B98" s="44" t="s">
        <v>43</v>
      </c>
      <c r="C98" s="49">
        <v>0</v>
      </c>
      <c r="D98" s="49">
        <v>0</v>
      </c>
      <c r="E98" s="49">
        <v>0</v>
      </c>
      <c r="F98" s="49">
        <v>0</v>
      </c>
      <c r="G98" s="49">
        <v>620000</v>
      </c>
      <c r="H98" s="49">
        <v>0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>
        <v>620000</v>
      </c>
      <c r="W98" s="49">
        <v>870000</v>
      </c>
      <c r="X98" s="49">
        <v>-250000</v>
      </c>
      <c r="Y98" s="70">
        <v>-0.28699999999999998</v>
      </c>
    </row>
    <row r="99" spans="2:25" hidden="1" x14ac:dyDescent="0.25">
      <c r="B99" s="44" t="s">
        <v>44</v>
      </c>
      <c r="C99" s="49">
        <v>0</v>
      </c>
      <c r="D99" s="49">
        <v>0</v>
      </c>
      <c r="E99" s="49">
        <v>0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5602076</v>
      </c>
      <c r="V99" s="49">
        <v>5602076</v>
      </c>
      <c r="W99" s="49">
        <v>4876351</v>
      </c>
      <c r="X99" s="49">
        <v>725725</v>
      </c>
      <c r="Y99" s="70">
        <v>0.14899999999999999</v>
      </c>
    </row>
    <row r="100" spans="2:25" hidden="1" x14ac:dyDescent="0.25">
      <c r="B100" s="44" t="s">
        <v>45</v>
      </c>
      <c r="C100" s="49">
        <v>0</v>
      </c>
      <c r="D100" s="49">
        <v>0</v>
      </c>
      <c r="E100" s="49">
        <v>0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19503</v>
      </c>
      <c r="Q100" s="49">
        <v>0</v>
      </c>
      <c r="R100" s="49">
        <v>0</v>
      </c>
      <c r="S100" s="49">
        <v>0</v>
      </c>
      <c r="T100" s="49">
        <v>0</v>
      </c>
      <c r="U100" s="49">
        <v>0</v>
      </c>
      <c r="V100" s="49">
        <v>19503</v>
      </c>
      <c r="W100" s="49">
        <v>19592</v>
      </c>
      <c r="X100" s="49">
        <v>-89</v>
      </c>
      <c r="Y100" s="70">
        <v>-5.0000000000000001E-3</v>
      </c>
    </row>
    <row r="101" spans="2:25" hidden="1" x14ac:dyDescent="0.25">
      <c r="B101" s="44" t="s">
        <v>46</v>
      </c>
      <c r="C101" s="49">
        <v>0</v>
      </c>
      <c r="D101" s="49">
        <v>0</v>
      </c>
      <c r="E101" s="49">
        <v>0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4196611</v>
      </c>
      <c r="R101" s="49">
        <v>7353917</v>
      </c>
      <c r="S101" s="49">
        <v>0</v>
      </c>
      <c r="T101" s="49">
        <v>0</v>
      </c>
      <c r="U101" s="49">
        <v>4525</v>
      </c>
      <c r="V101" s="49">
        <v>11555053</v>
      </c>
      <c r="W101" s="49">
        <v>11885519</v>
      </c>
      <c r="X101" s="49">
        <v>-330466</v>
      </c>
      <c r="Y101" s="70">
        <v>-2.8000000000000001E-2</v>
      </c>
    </row>
    <row r="102" spans="2:25" hidden="1" x14ac:dyDescent="0.25">
      <c r="B102" s="44" t="s">
        <v>49</v>
      </c>
      <c r="C102" s="49">
        <v>0</v>
      </c>
      <c r="D102" s="49">
        <v>0</v>
      </c>
      <c r="E102" s="49">
        <v>0</v>
      </c>
      <c r="F102" s="49">
        <v>0</v>
      </c>
      <c r="G102" s="49">
        <v>0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35000</v>
      </c>
      <c r="S102" s="49">
        <v>0</v>
      </c>
      <c r="T102" s="49">
        <v>0</v>
      </c>
      <c r="U102" s="49">
        <v>0</v>
      </c>
      <c r="V102" s="49">
        <v>35000</v>
      </c>
      <c r="W102" s="49">
        <v>35000</v>
      </c>
      <c r="X102" s="49">
        <v>0</v>
      </c>
      <c r="Y102" s="70">
        <v>0</v>
      </c>
    </row>
    <row r="103" spans="2:25" hidden="1" x14ac:dyDescent="0.25">
      <c r="B103" s="44" t="s">
        <v>54</v>
      </c>
      <c r="C103" s="49">
        <v>0</v>
      </c>
      <c r="D103" s="49">
        <v>0</v>
      </c>
      <c r="E103" s="49">
        <v>0</v>
      </c>
      <c r="F103" s="49">
        <v>0</v>
      </c>
      <c r="G103" s="49">
        <v>0</v>
      </c>
      <c r="H103" s="49">
        <v>0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36042</v>
      </c>
      <c r="Q103" s="49">
        <v>0</v>
      </c>
      <c r="R103" s="49">
        <v>0</v>
      </c>
      <c r="S103" s="49">
        <v>0</v>
      </c>
      <c r="T103" s="49">
        <v>0</v>
      </c>
      <c r="U103" s="49">
        <v>0</v>
      </c>
      <c r="V103" s="49">
        <v>36042</v>
      </c>
      <c r="W103" s="49">
        <v>41191</v>
      </c>
      <c r="X103" s="49">
        <v>-5149</v>
      </c>
      <c r="Y103" s="70">
        <v>-0.125</v>
      </c>
    </row>
    <row r="104" spans="2:25" hidden="1" x14ac:dyDescent="0.25">
      <c r="B104" s="44" t="s">
        <v>55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  <c r="L104" s="49">
        <v>0</v>
      </c>
      <c r="M104" s="49">
        <v>110000</v>
      </c>
      <c r="N104" s="49">
        <v>0</v>
      </c>
      <c r="O104" s="49">
        <v>52808</v>
      </c>
      <c r="P104" s="49">
        <v>0</v>
      </c>
      <c r="Q104" s="49">
        <v>0</v>
      </c>
      <c r="R104" s="49">
        <v>171350</v>
      </c>
      <c r="S104" s="49">
        <v>0</v>
      </c>
      <c r="T104" s="49">
        <v>0</v>
      </c>
      <c r="U104" s="49">
        <v>0</v>
      </c>
      <c r="V104" s="49">
        <v>334158</v>
      </c>
      <c r="W104" s="49">
        <v>152916</v>
      </c>
      <c r="X104" s="49">
        <v>181242</v>
      </c>
      <c r="Y104" s="70">
        <v>1.1850000000000001</v>
      </c>
    </row>
    <row r="105" spans="2:25" hidden="1" x14ac:dyDescent="0.25">
      <c r="B105" s="44" t="s">
        <v>56</v>
      </c>
      <c r="C105" s="49">
        <v>0</v>
      </c>
      <c r="D105" s="49">
        <v>0</v>
      </c>
      <c r="E105" s="49">
        <v>0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49">
        <v>0</v>
      </c>
      <c r="T105" s="49">
        <v>0</v>
      </c>
      <c r="U105" s="49">
        <v>1448637</v>
      </c>
      <c r="V105" s="49">
        <v>1448637</v>
      </c>
      <c r="W105" s="49">
        <v>1281853</v>
      </c>
      <c r="X105" s="49">
        <v>166784</v>
      </c>
      <c r="Y105" s="70">
        <v>0.13</v>
      </c>
    </row>
    <row r="106" spans="2:25" hidden="1" x14ac:dyDescent="0.25">
      <c r="B106" s="44" t="s">
        <v>57</v>
      </c>
      <c r="C106" s="49">
        <v>0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  <c r="I106" s="49">
        <v>85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1032049</v>
      </c>
      <c r="P106" s="49">
        <v>8326937</v>
      </c>
      <c r="Q106" s="49">
        <v>0</v>
      </c>
      <c r="R106" s="49">
        <v>0</v>
      </c>
      <c r="S106" s="49">
        <v>0</v>
      </c>
      <c r="T106" s="49">
        <v>0</v>
      </c>
      <c r="U106" s="49">
        <v>2558</v>
      </c>
      <c r="V106" s="49">
        <v>9361629</v>
      </c>
      <c r="W106" s="49">
        <v>7971456</v>
      </c>
      <c r="X106" s="49">
        <v>1390173</v>
      </c>
      <c r="Y106" s="70">
        <v>0.17399999999999999</v>
      </c>
    </row>
    <row r="107" spans="2:25" hidden="1" x14ac:dyDescent="0.25">
      <c r="B107" s="44" t="s">
        <v>58</v>
      </c>
      <c r="C107" s="49">
        <v>0</v>
      </c>
      <c r="D107" s="49">
        <v>0</v>
      </c>
      <c r="E107" s="49">
        <v>0</v>
      </c>
      <c r="F107" s="49">
        <v>0</v>
      </c>
      <c r="G107" s="49">
        <v>0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838078</v>
      </c>
      <c r="R107" s="49">
        <v>0</v>
      </c>
      <c r="S107" s="49">
        <v>0</v>
      </c>
      <c r="T107" s="49">
        <v>0</v>
      </c>
      <c r="U107" s="49">
        <v>0</v>
      </c>
      <c r="V107" s="49">
        <v>838078</v>
      </c>
      <c r="W107" s="49">
        <v>848181</v>
      </c>
      <c r="X107" s="49">
        <v>-10103</v>
      </c>
      <c r="Y107" s="70">
        <v>-1.2E-2</v>
      </c>
    </row>
    <row r="108" spans="2:25" hidden="1" x14ac:dyDescent="0.25">
      <c r="B108" s="44" t="s">
        <v>59</v>
      </c>
      <c r="C108" s="49">
        <v>0</v>
      </c>
      <c r="D108" s="49">
        <v>0</v>
      </c>
      <c r="E108" s="49">
        <v>0</v>
      </c>
      <c r="F108" s="49">
        <v>0</v>
      </c>
      <c r="G108" s="49">
        <v>0</v>
      </c>
      <c r="H108" s="49">
        <v>130661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  <c r="V108" s="49">
        <v>130661</v>
      </c>
      <c r="W108" s="49">
        <v>153380</v>
      </c>
      <c r="X108" s="49">
        <v>-22719</v>
      </c>
      <c r="Y108" s="70">
        <v>-0.14799999999999999</v>
      </c>
    </row>
    <row r="109" spans="2:25" hidden="1" x14ac:dyDescent="0.25">
      <c r="B109" s="44" t="s">
        <v>61</v>
      </c>
      <c r="C109" s="49">
        <v>0</v>
      </c>
      <c r="D109" s="49">
        <v>0</v>
      </c>
      <c r="E109" s="49">
        <v>1100</v>
      </c>
      <c r="F109" s="49">
        <v>0</v>
      </c>
      <c r="G109" s="49">
        <v>0</v>
      </c>
      <c r="H109" s="49">
        <v>0</v>
      </c>
      <c r="I109" s="49">
        <v>339</v>
      </c>
      <c r="J109" s="49">
        <v>0</v>
      </c>
      <c r="K109" s="49">
        <v>5284</v>
      </c>
      <c r="L109" s="49">
        <v>489800</v>
      </c>
      <c r="M109" s="49">
        <v>0</v>
      </c>
      <c r="N109" s="49">
        <v>0</v>
      </c>
      <c r="O109" s="49">
        <v>0</v>
      </c>
      <c r="P109" s="49">
        <v>5472</v>
      </c>
      <c r="Q109" s="49">
        <v>0</v>
      </c>
      <c r="R109" s="49">
        <v>8700</v>
      </c>
      <c r="S109" s="49">
        <v>0</v>
      </c>
      <c r="T109" s="49">
        <v>0</v>
      </c>
      <c r="U109" s="49">
        <v>0</v>
      </c>
      <c r="V109" s="49">
        <v>510695</v>
      </c>
      <c r="W109" s="49">
        <v>486595</v>
      </c>
      <c r="X109" s="49">
        <v>24100</v>
      </c>
      <c r="Y109" s="70">
        <v>0.05</v>
      </c>
    </row>
    <row r="110" spans="2:25" hidden="1" x14ac:dyDescent="0.25">
      <c r="B110" s="44" t="s">
        <v>62</v>
      </c>
      <c r="C110" s="49">
        <v>0</v>
      </c>
      <c r="D110" s="49">
        <v>0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0</v>
      </c>
      <c r="K110" s="49">
        <v>0</v>
      </c>
      <c r="L110" s="49">
        <v>193050</v>
      </c>
      <c r="M110" s="49">
        <v>0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>
        <v>193050</v>
      </c>
      <c r="W110" s="49">
        <v>175500</v>
      </c>
      <c r="X110" s="49">
        <v>17550</v>
      </c>
      <c r="Y110" s="70">
        <v>0.1</v>
      </c>
    </row>
    <row r="111" spans="2:25" hidden="1" x14ac:dyDescent="0.25">
      <c r="B111" s="44" t="s">
        <v>63</v>
      </c>
      <c r="C111" s="49">
        <v>11666</v>
      </c>
      <c r="D111" s="49">
        <v>0</v>
      </c>
      <c r="E111" s="49">
        <v>0</v>
      </c>
      <c r="F111" s="49">
        <v>260</v>
      </c>
      <c r="G111" s="49">
        <v>0</v>
      </c>
      <c r="H111" s="49">
        <v>66370</v>
      </c>
      <c r="I111" s="49">
        <v>0</v>
      </c>
      <c r="J111" s="49">
        <v>0</v>
      </c>
      <c r="K111" s="49">
        <v>56783</v>
      </c>
      <c r="L111" s="49">
        <v>322389</v>
      </c>
      <c r="M111" s="49">
        <v>0</v>
      </c>
      <c r="N111" s="49">
        <v>17399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6610</v>
      </c>
      <c r="V111" s="49">
        <v>481477</v>
      </c>
      <c r="W111" s="49">
        <v>637835</v>
      </c>
      <c r="X111" s="49">
        <v>-156358</v>
      </c>
      <c r="Y111" s="70">
        <v>-0.245</v>
      </c>
    </row>
    <row r="112" spans="2:25" hidden="1" x14ac:dyDescent="0.25">
      <c r="B112" s="44" t="s">
        <v>64</v>
      </c>
      <c r="C112" s="49">
        <v>0</v>
      </c>
      <c r="D112" s="49">
        <v>0</v>
      </c>
      <c r="E112" s="49">
        <v>0</v>
      </c>
      <c r="F112" s="49">
        <v>0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1500</v>
      </c>
      <c r="M112" s="49">
        <v>0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>
        <v>1500</v>
      </c>
      <c r="W112" s="49">
        <v>0</v>
      </c>
      <c r="X112" s="49">
        <v>1500</v>
      </c>
      <c r="Y112" s="70">
        <v>1</v>
      </c>
    </row>
    <row r="113" spans="2:25" hidden="1" x14ac:dyDescent="0.25">
      <c r="B113" s="44" t="s">
        <v>65</v>
      </c>
      <c r="C113" s="49">
        <v>0</v>
      </c>
      <c r="D113" s="49">
        <v>0</v>
      </c>
      <c r="E113" s="49">
        <v>0</v>
      </c>
      <c r="F113" s="49">
        <v>0</v>
      </c>
      <c r="G113" s="49">
        <v>0</v>
      </c>
      <c r="H113" s="49">
        <v>0</v>
      </c>
      <c r="I113" s="49">
        <v>0</v>
      </c>
      <c r="J113" s="49">
        <v>0</v>
      </c>
      <c r="K113" s="49">
        <v>1000</v>
      </c>
      <c r="L113" s="49">
        <v>6946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49">
        <v>0</v>
      </c>
      <c r="V113" s="49">
        <v>7946</v>
      </c>
      <c r="W113" s="49">
        <v>8230</v>
      </c>
      <c r="X113" s="49">
        <v>-284</v>
      </c>
      <c r="Y113" s="70">
        <v>-3.5000000000000003E-2</v>
      </c>
    </row>
    <row r="114" spans="2:25" hidden="1" x14ac:dyDescent="0.25">
      <c r="B114" s="44" t="s">
        <v>66</v>
      </c>
      <c r="C114" s="49">
        <v>0</v>
      </c>
      <c r="D114" s="49">
        <v>0</v>
      </c>
      <c r="E114" s="49">
        <v>0</v>
      </c>
      <c r="F114" s="49">
        <v>0</v>
      </c>
      <c r="G114" s="49">
        <v>0</v>
      </c>
      <c r="H114" s="49">
        <v>0</v>
      </c>
      <c r="I114" s="49">
        <v>0</v>
      </c>
      <c r="J114" s="49">
        <v>0</v>
      </c>
      <c r="K114" s="49">
        <v>0</v>
      </c>
      <c r="L114" s="49">
        <v>53428</v>
      </c>
      <c r="M114" s="49">
        <v>0</v>
      </c>
      <c r="N114" s="49">
        <v>0</v>
      </c>
      <c r="O114" s="49">
        <v>0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>
        <v>53428</v>
      </c>
      <c r="W114" s="49">
        <v>116964</v>
      </c>
      <c r="X114" s="49">
        <v>-63536</v>
      </c>
      <c r="Y114" s="70">
        <v>-0.54300000000000004</v>
      </c>
    </row>
    <row r="115" spans="2:25" hidden="1" x14ac:dyDescent="0.25">
      <c r="B115" s="44" t="s">
        <v>67</v>
      </c>
      <c r="C115" s="49">
        <v>12013</v>
      </c>
      <c r="D115" s="49">
        <v>12395</v>
      </c>
      <c r="E115" s="49">
        <v>4200</v>
      </c>
      <c r="F115" s="49">
        <v>10751</v>
      </c>
      <c r="G115" s="49">
        <v>5200</v>
      </c>
      <c r="H115" s="49">
        <v>4906</v>
      </c>
      <c r="I115" s="49">
        <v>12229</v>
      </c>
      <c r="J115" s="49">
        <v>9613</v>
      </c>
      <c r="K115" s="49">
        <v>12681</v>
      </c>
      <c r="L115" s="49">
        <v>28855</v>
      </c>
      <c r="M115" s="49">
        <v>0</v>
      </c>
      <c r="N115" s="49">
        <v>16960</v>
      </c>
      <c r="O115" s="49">
        <v>9861</v>
      </c>
      <c r="P115" s="49">
        <v>3650</v>
      </c>
      <c r="Q115" s="49">
        <v>22219</v>
      </c>
      <c r="R115" s="49">
        <v>21500</v>
      </c>
      <c r="S115" s="49">
        <v>25278</v>
      </c>
      <c r="T115" s="49">
        <v>10208</v>
      </c>
      <c r="U115" s="49">
        <v>14367</v>
      </c>
      <c r="V115" s="49">
        <v>236886</v>
      </c>
      <c r="W115" s="49">
        <v>251467</v>
      </c>
      <c r="X115" s="49">
        <v>-14581</v>
      </c>
      <c r="Y115" s="70">
        <v>-5.8000000000000003E-2</v>
      </c>
    </row>
    <row r="116" spans="2:25" hidden="1" x14ac:dyDescent="0.25">
      <c r="B116" s="44" t="s">
        <v>68</v>
      </c>
      <c r="C116" s="49">
        <v>43775</v>
      </c>
      <c r="D116" s="49">
        <v>0</v>
      </c>
      <c r="E116" s="49">
        <v>2500</v>
      </c>
      <c r="F116" s="49">
        <v>3711</v>
      </c>
      <c r="G116" s="49">
        <v>650</v>
      </c>
      <c r="H116" s="49">
        <v>20136</v>
      </c>
      <c r="I116" s="49">
        <v>4074</v>
      </c>
      <c r="J116" s="49">
        <v>45664</v>
      </c>
      <c r="K116" s="49">
        <v>76913</v>
      </c>
      <c r="L116" s="49">
        <v>11625</v>
      </c>
      <c r="M116" s="49">
        <v>980</v>
      </c>
      <c r="N116" s="49">
        <v>2491</v>
      </c>
      <c r="O116" s="49">
        <v>2393</v>
      </c>
      <c r="P116" s="49">
        <v>1073</v>
      </c>
      <c r="Q116" s="49">
        <v>5544</v>
      </c>
      <c r="R116" s="49">
        <v>19544</v>
      </c>
      <c r="S116" s="49">
        <v>9535</v>
      </c>
      <c r="T116" s="49">
        <v>3924</v>
      </c>
      <c r="U116" s="49">
        <v>4861</v>
      </c>
      <c r="V116" s="49">
        <v>259393</v>
      </c>
      <c r="W116" s="49">
        <v>219284</v>
      </c>
      <c r="X116" s="49">
        <v>40109</v>
      </c>
      <c r="Y116" s="70">
        <v>0.183</v>
      </c>
    </row>
    <row r="117" spans="2:25" hidden="1" x14ac:dyDescent="0.25">
      <c r="B117" s="44" t="s">
        <v>69</v>
      </c>
      <c r="C117" s="49">
        <v>7282</v>
      </c>
      <c r="D117" s="49">
        <v>0</v>
      </c>
      <c r="E117" s="49">
        <v>4200</v>
      </c>
      <c r="F117" s="49">
        <v>5300</v>
      </c>
      <c r="G117" s="49">
        <v>2500</v>
      </c>
      <c r="H117" s="49">
        <v>71939</v>
      </c>
      <c r="I117" s="49">
        <v>11071</v>
      </c>
      <c r="J117" s="49">
        <v>2841</v>
      </c>
      <c r="K117" s="49">
        <v>19280</v>
      </c>
      <c r="L117" s="49">
        <v>2473</v>
      </c>
      <c r="M117" s="49">
        <v>0</v>
      </c>
      <c r="N117" s="49">
        <v>6827</v>
      </c>
      <c r="O117" s="49">
        <v>28494</v>
      </c>
      <c r="P117" s="49">
        <v>22194</v>
      </c>
      <c r="Q117" s="49">
        <v>103678</v>
      </c>
      <c r="R117" s="49">
        <v>80675</v>
      </c>
      <c r="S117" s="49">
        <v>2456</v>
      </c>
      <c r="T117" s="49">
        <v>5537</v>
      </c>
      <c r="U117" s="49">
        <v>26861</v>
      </c>
      <c r="V117" s="49">
        <v>403608</v>
      </c>
      <c r="W117" s="49">
        <v>403700</v>
      </c>
      <c r="X117" s="49">
        <v>-92</v>
      </c>
      <c r="Y117" s="70">
        <v>0</v>
      </c>
    </row>
    <row r="118" spans="2:25" hidden="1" x14ac:dyDescent="0.25">
      <c r="B118" s="44" t="s">
        <v>70</v>
      </c>
      <c r="C118" s="49">
        <v>0</v>
      </c>
      <c r="D118" s="49">
        <v>0</v>
      </c>
      <c r="E118" s="49">
        <v>0</v>
      </c>
      <c r="F118" s="49">
        <v>600</v>
      </c>
      <c r="G118" s="49">
        <v>0</v>
      </c>
      <c r="H118" s="49">
        <v>0</v>
      </c>
      <c r="I118" s="49">
        <v>700</v>
      </c>
      <c r="J118" s="49">
        <v>0</v>
      </c>
      <c r="K118" s="49">
        <v>2878</v>
      </c>
      <c r="L118" s="49">
        <v>0</v>
      </c>
      <c r="M118" s="49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31765</v>
      </c>
      <c r="S118" s="49">
        <v>0</v>
      </c>
      <c r="T118" s="49">
        <v>0</v>
      </c>
      <c r="U118" s="49">
        <v>0</v>
      </c>
      <c r="V118" s="49">
        <v>35943</v>
      </c>
      <c r="W118" s="49">
        <v>20969</v>
      </c>
      <c r="X118" s="49">
        <v>14974</v>
      </c>
      <c r="Y118" s="70">
        <v>0.71399999999999997</v>
      </c>
    </row>
    <row r="119" spans="2:25" hidden="1" x14ac:dyDescent="0.25">
      <c r="B119" s="44" t="s">
        <v>71</v>
      </c>
      <c r="C119" s="49">
        <v>0</v>
      </c>
      <c r="D119" s="49">
        <v>0</v>
      </c>
      <c r="E119" s="49">
        <v>0</v>
      </c>
      <c r="F119" s="49">
        <v>0</v>
      </c>
      <c r="G119" s="49">
        <v>0</v>
      </c>
      <c r="H119" s="49">
        <v>4714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5834399</v>
      </c>
      <c r="Q119" s="49">
        <v>0</v>
      </c>
      <c r="R119" s="49">
        <v>64800</v>
      </c>
      <c r="S119" s="49">
        <v>0</v>
      </c>
      <c r="T119" s="49">
        <v>0</v>
      </c>
      <c r="U119" s="49">
        <v>0</v>
      </c>
      <c r="V119" s="49">
        <v>5903913</v>
      </c>
      <c r="W119" s="49">
        <v>4043786</v>
      </c>
      <c r="X119" s="49">
        <v>1860127</v>
      </c>
      <c r="Y119" s="70">
        <v>0.46</v>
      </c>
    </row>
    <row r="120" spans="2:25" hidden="1" x14ac:dyDescent="0.25">
      <c r="B120" s="44" t="s">
        <v>72</v>
      </c>
      <c r="C120" s="49">
        <v>0</v>
      </c>
      <c r="D120" s="49">
        <v>0</v>
      </c>
      <c r="E120" s="49">
        <v>0</v>
      </c>
      <c r="F120" s="49">
        <v>0</v>
      </c>
      <c r="G120" s="49">
        <v>0</v>
      </c>
      <c r="H120" s="49">
        <v>0</v>
      </c>
      <c r="I120" s="49">
        <v>0</v>
      </c>
      <c r="J120" s="49">
        <v>0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  <c r="T120" s="49">
        <v>0</v>
      </c>
      <c r="U120" s="49">
        <v>11000</v>
      </c>
      <c r="V120" s="49">
        <v>11000</v>
      </c>
      <c r="W120" s="49">
        <v>10864</v>
      </c>
      <c r="X120" s="49">
        <v>136</v>
      </c>
      <c r="Y120" s="70">
        <v>1.2999999999999999E-2</v>
      </c>
    </row>
    <row r="121" spans="2:25" hidden="1" x14ac:dyDescent="0.25">
      <c r="B121" s="44" t="s">
        <v>73</v>
      </c>
      <c r="C121" s="49">
        <v>626</v>
      </c>
      <c r="D121" s="49">
        <v>2439</v>
      </c>
      <c r="E121" s="49">
        <v>600</v>
      </c>
      <c r="F121" s="49">
        <v>7800</v>
      </c>
      <c r="G121" s="49">
        <v>2200</v>
      </c>
      <c r="H121" s="49">
        <v>3925</v>
      </c>
      <c r="I121" s="49">
        <v>2544</v>
      </c>
      <c r="J121" s="49">
        <v>36040</v>
      </c>
      <c r="K121" s="49">
        <v>3803</v>
      </c>
      <c r="L121" s="49">
        <v>6650</v>
      </c>
      <c r="M121" s="49">
        <v>61433</v>
      </c>
      <c r="N121" s="49">
        <v>2120</v>
      </c>
      <c r="O121" s="49">
        <v>90090</v>
      </c>
      <c r="P121" s="49">
        <v>106670</v>
      </c>
      <c r="Q121" s="49">
        <v>178349</v>
      </c>
      <c r="R121" s="49">
        <v>21100</v>
      </c>
      <c r="S121" s="49">
        <v>827</v>
      </c>
      <c r="T121" s="49">
        <v>1574</v>
      </c>
      <c r="U121" s="49">
        <v>9177</v>
      </c>
      <c r="V121" s="49">
        <v>537967</v>
      </c>
      <c r="W121" s="49">
        <v>484594</v>
      </c>
      <c r="X121" s="49">
        <v>53373</v>
      </c>
      <c r="Y121" s="70">
        <v>0.11</v>
      </c>
    </row>
    <row r="122" spans="2:25" hidden="1" x14ac:dyDescent="0.25">
      <c r="B122" s="44" t="s">
        <v>74</v>
      </c>
      <c r="C122" s="49">
        <v>0</v>
      </c>
      <c r="D122" s="49">
        <v>0</v>
      </c>
      <c r="E122" s="49">
        <v>0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2392</v>
      </c>
      <c r="M122" s="49">
        <v>0</v>
      </c>
      <c r="N122" s="49">
        <v>0</v>
      </c>
      <c r="O122" s="49">
        <v>0</v>
      </c>
      <c r="P122" s="49">
        <v>0</v>
      </c>
      <c r="Q122" s="49">
        <v>89958</v>
      </c>
      <c r="R122" s="49">
        <v>2360844</v>
      </c>
      <c r="S122" s="49">
        <v>0</v>
      </c>
      <c r="T122" s="49">
        <v>0</v>
      </c>
      <c r="U122" s="49">
        <v>57313</v>
      </c>
      <c r="V122" s="49">
        <v>2510507</v>
      </c>
      <c r="W122" s="49">
        <v>2421455</v>
      </c>
      <c r="X122" s="49">
        <v>89052</v>
      </c>
      <c r="Y122" s="70">
        <v>3.6999999999999998E-2</v>
      </c>
    </row>
    <row r="123" spans="2:25" hidden="1" x14ac:dyDescent="0.25">
      <c r="B123" s="44" t="s">
        <v>75</v>
      </c>
      <c r="C123" s="49">
        <v>0</v>
      </c>
      <c r="D123" s="49">
        <v>0</v>
      </c>
      <c r="E123" s="49">
        <v>0</v>
      </c>
      <c r="F123" s="49">
        <v>0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49">
        <v>0</v>
      </c>
      <c r="O123" s="49">
        <v>0</v>
      </c>
      <c r="P123" s="49">
        <v>0</v>
      </c>
      <c r="Q123" s="49">
        <v>0</v>
      </c>
      <c r="R123" s="49">
        <v>1086466</v>
      </c>
      <c r="S123" s="49">
        <v>0</v>
      </c>
      <c r="T123" s="49">
        <v>0</v>
      </c>
      <c r="U123" s="49">
        <v>0</v>
      </c>
      <c r="V123" s="49">
        <v>1086466</v>
      </c>
      <c r="W123" s="49">
        <v>1010198</v>
      </c>
      <c r="X123" s="49">
        <v>76268</v>
      </c>
      <c r="Y123" s="70">
        <v>7.4999999999999997E-2</v>
      </c>
    </row>
    <row r="124" spans="2:25" hidden="1" x14ac:dyDescent="0.25">
      <c r="B124" s="44" t="s">
        <v>76</v>
      </c>
      <c r="C124" s="49">
        <v>201</v>
      </c>
      <c r="D124" s="49">
        <v>1050</v>
      </c>
      <c r="E124" s="49">
        <v>330</v>
      </c>
      <c r="F124" s="49">
        <v>481</v>
      </c>
      <c r="G124" s="49">
        <v>170</v>
      </c>
      <c r="H124" s="49">
        <v>583</v>
      </c>
      <c r="I124" s="49">
        <v>154</v>
      </c>
      <c r="J124" s="49">
        <v>424</v>
      </c>
      <c r="K124" s="49">
        <v>126</v>
      </c>
      <c r="L124" s="49">
        <v>297</v>
      </c>
      <c r="M124" s="49">
        <v>0</v>
      </c>
      <c r="N124" s="49">
        <v>81</v>
      </c>
      <c r="O124" s="49">
        <v>580</v>
      </c>
      <c r="P124" s="49">
        <v>508</v>
      </c>
      <c r="Q124" s="49">
        <v>0</v>
      </c>
      <c r="R124" s="49">
        <v>300</v>
      </c>
      <c r="S124" s="49">
        <v>166</v>
      </c>
      <c r="T124" s="49">
        <v>404</v>
      </c>
      <c r="U124" s="49">
        <v>266</v>
      </c>
      <c r="V124" s="49">
        <v>6121</v>
      </c>
      <c r="W124" s="49">
        <v>7804</v>
      </c>
      <c r="X124" s="49">
        <v>-1683</v>
      </c>
      <c r="Y124" s="70">
        <v>-0.216</v>
      </c>
    </row>
    <row r="125" spans="2:25" hidden="1" x14ac:dyDescent="0.25">
      <c r="B125" s="44" t="s">
        <v>78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1175507</v>
      </c>
      <c r="S125" s="49">
        <v>0</v>
      </c>
      <c r="T125" s="49">
        <v>0</v>
      </c>
      <c r="U125" s="49">
        <v>0</v>
      </c>
      <c r="V125" s="49">
        <v>1175507</v>
      </c>
      <c r="W125" s="49">
        <v>1274902</v>
      </c>
      <c r="X125" s="49">
        <v>-99395</v>
      </c>
      <c r="Y125" s="70">
        <v>-7.8E-2</v>
      </c>
    </row>
    <row r="126" spans="2:25" hidden="1" x14ac:dyDescent="0.25">
      <c r="B126" s="44" t="s">
        <v>79</v>
      </c>
      <c r="C126" s="49">
        <v>0</v>
      </c>
      <c r="D126" s="49">
        <v>0</v>
      </c>
      <c r="E126" s="49">
        <v>0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593000</v>
      </c>
      <c r="S126" s="49">
        <v>0</v>
      </c>
      <c r="T126" s="49">
        <v>0</v>
      </c>
      <c r="U126" s="49">
        <v>0</v>
      </c>
      <c r="V126" s="49">
        <v>593000</v>
      </c>
      <c r="W126" s="49">
        <v>592864</v>
      </c>
      <c r="X126" s="49">
        <v>136</v>
      </c>
      <c r="Y126" s="70">
        <v>0</v>
      </c>
    </row>
    <row r="127" spans="2:25" hidden="1" x14ac:dyDescent="0.25">
      <c r="B127" s="44" t="s">
        <v>80</v>
      </c>
      <c r="C127" s="49">
        <v>0</v>
      </c>
      <c r="D127" s="49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70600</v>
      </c>
      <c r="S127" s="49">
        <v>0</v>
      </c>
      <c r="T127" s="49">
        <v>0</v>
      </c>
      <c r="U127" s="49">
        <v>0</v>
      </c>
      <c r="V127" s="49">
        <v>70600</v>
      </c>
      <c r="W127" s="49">
        <v>70560</v>
      </c>
      <c r="X127" s="49">
        <v>40</v>
      </c>
      <c r="Y127" s="70">
        <v>1E-3</v>
      </c>
    </row>
    <row r="128" spans="2:25" hidden="1" x14ac:dyDescent="0.25">
      <c r="B128" s="44" t="s">
        <v>81</v>
      </c>
      <c r="C128" s="49">
        <v>0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0</v>
      </c>
      <c r="J128" s="49">
        <v>0</v>
      </c>
      <c r="K128" s="49">
        <v>0</v>
      </c>
      <c r="L128" s="49">
        <v>0</v>
      </c>
      <c r="M128" s="49">
        <v>0</v>
      </c>
      <c r="N128" s="49">
        <v>0</v>
      </c>
      <c r="O128" s="49">
        <v>0</v>
      </c>
      <c r="P128" s="49">
        <v>0</v>
      </c>
      <c r="Q128" s="49">
        <v>0</v>
      </c>
      <c r="R128" s="49">
        <v>2100000</v>
      </c>
      <c r="S128" s="49">
        <v>0</v>
      </c>
      <c r="T128" s="49">
        <v>0</v>
      </c>
      <c r="U128" s="49">
        <v>0</v>
      </c>
      <c r="V128" s="49">
        <v>2100000</v>
      </c>
      <c r="W128" s="49">
        <v>2092577</v>
      </c>
      <c r="X128" s="49">
        <v>7423</v>
      </c>
      <c r="Y128" s="70">
        <v>4.0000000000000001E-3</v>
      </c>
    </row>
    <row r="129" spans="2:25" hidden="1" x14ac:dyDescent="0.25">
      <c r="B129" s="44" t="s">
        <v>82</v>
      </c>
      <c r="C129" s="49">
        <v>0</v>
      </c>
      <c r="D129" s="49">
        <v>0</v>
      </c>
      <c r="E129" s="49">
        <v>0</v>
      </c>
      <c r="F129" s="49">
        <v>0</v>
      </c>
      <c r="G129" s="49">
        <v>0</v>
      </c>
      <c r="H129" s="49">
        <v>0</v>
      </c>
      <c r="I129" s="49">
        <v>1378</v>
      </c>
      <c r="J129" s="49">
        <v>0</v>
      </c>
      <c r="K129" s="49">
        <v>2000</v>
      </c>
      <c r="L129" s="49">
        <v>0</v>
      </c>
      <c r="M129" s="49">
        <v>0</v>
      </c>
      <c r="N129" s="49">
        <v>0</v>
      </c>
      <c r="O129" s="49">
        <v>0</v>
      </c>
      <c r="P129" s="49">
        <v>0</v>
      </c>
      <c r="Q129" s="49">
        <v>0</v>
      </c>
      <c r="R129" s="49">
        <v>0</v>
      </c>
      <c r="S129" s="49">
        <v>0</v>
      </c>
      <c r="T129" s="49">
        <v>0</v>
      </c>
      <c r="U129" s="49">
        <v>0</v>
      </c>
      <c r="V129" s="49">
        <v>3378</v>
      </c>
      <c r="W129" s="49">
        <v>2682</v>
      </c>
      <c r="X129" s="49">
        <v>696</v>
      </c>
      <c r="Y129" s="70">
        <v>0.26</v>
      </c>
    </row>
    <row r="130" spans="2:25" hidden="1" x14ac:dyDescent="0.25">
      <c r="B130" s="44" t="s">
        <v>83</v>
      </c>
      <c r="C130" s="49">
        <v>0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49">
        <v>0</v>
      </c>
      <c r="O130" s="49">
        <v>0</v>
      </c>
      <c r="P130" s="49">
        <v>8921481</v>
      </c>
      <c r="Q130" s="49">
        <v>0</v>
      </c>
      <c r="R130" s="49">
        <v>0</v>
      </c>
      <c r="S130" s="49">
        <v>0</v>
      </c>
      <c r="T130" s="49">
        <v>0</v>
      </c>
      <c r="U130" s="49">
        <v>0</v>
      </c>
      <c r="V130" s="49">
        <v>8921481</v>
      </c>
      <c r="W130" s="49">
        <v>10000000</v>
      </c>
      <c r="X130" s="49">
        <v>-1078519</v>
      </c>
      <c r="Y130" s="70">
        <v>-0.108</v>
      </c>
    </row>
    <row r="131" spans="2:25" hidden="1" x14ac:dyDescent="0.25">
      <c r="B131" s="44" t="s">
        <v>84</v>
      </c>
      <c r="C131" s="49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216634</v>
      </c>
      <c r="S131" s="49">
        <v>0</v>
      </c>
      <c r="T131" s="49">
        <v>0</v>
      </c>
      <c r="U131" s="49">
        <v>0</v>
      </c>
      <c r="V131" s="49">
        <v>216634</v>
      </c>
      <c r="W131" s="49">
        <v>70640</v>
      </c>
      <c r="X131" s="49">
        <v>145994</v>
      </c>
      <c r="Y131" s="70">
        <v>2.0670000000000002</v>
      </c>
    </row>
    <row r="132" spans="2:25" hidden="1" x14ac:dyDescent="0.25">
      <c r="B132" s="44" t="s">
        <v>88</v>
      </c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5000</v>
      </c>
      <c r="O132" s="49">
        <v>0</v>
      </c>
      <c r="P132" s="49">
        <v>0</v>
      </c>
      <c r="Q132" s="49">
        <v>4987470</v>
      </c>
      <c r="R132" s="49">
        <v>0</v>
      </c>
      <c r="S132" s="49">
        <v>0</v>
      </c>
      <c r="T132" s="49">
        <v>0</v>
      </c>
      <c r="U132" s="49">
        <v>0</v>
      </c>
      <c r="V132" s="49">
        <v>4992470</v>
      </c>
      <c r="W132" s="49">
        <v>4866746</v>
      </c>
      <c r="X132" s="49">
        <v>125724</v>
      </c>
      <c r="Y132" s="70">
        <v>2.5999999999999999E-2</v>
      </c>
    </row>
    <row r="133" spans="2:25" hidden="1" x14ac:dyDescent="0.25">
      <c r="B133" s="44" t="s">
        <v>89</v>
      </c>
      <c r="C133" s="49">
        <v>0</v>
      </c>
      <c r="D133" s="49">
        <v>0</v>
      </c>
      <c r="E133" s="49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1696</v>
      </c>
      <c r="M133" s="49">
        <v>0</v>
      </c>
      <c r="N133" s="49">
        <v>0</v>
      </c>
      <c r="O133" s="49">
        <v>4785</v>
      </c>
      <c r="P133" s="49">
        <v>11068</v>
      </c>
      <c r="Q133" s="49">
        <v>0</v>
      </c>
      <c r="R133" s="49">
        <v>182700</v>
      </c>
      <c r="S133" s="49">
        <v>0</v>
      </c>
      <c r="T133" s="49">
        <v>0</v>
      </c>
      <c r="U133" s="49">
        <v>72138</v>
      </c>
      <c r="V133" s="49">
        <v>272387</v>
      </c>
      <c r="W133" s="49">
        <v>240269</v>
      </c>
      <c r="X133" s="49">
        <v>32118</v>
      </c>
      <c r="Y133" s="70">
        <v>0.13400000000000001</v>
      </c>
    </row>
    <row r="134" spans="2:25" hidden="1" x14ac:dyDescent="0.25">
      <c r="B134" s="44" t="s">
        <v>93</v>
      </c>
      <c r="C134" s="49">
        <v>0</v>
      </c>
      <c r="D134" s="49">
        <v>0</v>
      </c>
      <c r="E134" s="49">
        <v>70000</v>
      </c>
      <c r="F134" s="49">
        <v>0</v>
      </c>
      <c r="G134" s="49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768686</v>
      </c>
      <c r="P134" s="49">
        <v>0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49">
        <v>838686</v>
      </c>
      <c r="W134" s="49">
        <v>857301</v>
      </c>
      <c r="X134" s="49">
        <v>-18615</v>
      </c>
      <c r="Y134" s="70">
        <v>-2.1999999999999999E-2</v>
      </c>
    </row>
    <row r="135" spans="2:25" hidden="1" x14ac:dyDescent="0.25">
      <c r="B135" s="44" t="s">
        <v>94</v>
      </c>
      <c r="C135" s="49">
        <v>0</v>
      </c>
      <c r="D135" s="49">
        <v>0</v>
      </c>
      <c r="E135" s="49">
        <v>0</v>
      </c>
      <c r="F135" s="49">
        <v>0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14696169</v>
      </c>
      <c r="Q135" s="49">
        <v>0</v>
      </c>
      <c r="R135" s="49">
        <v>0</v>
      </c>
      <c r="S135" s="49">
        <v>0</v>
      </c>
      <c r="T135" s="49">
        <v>0</v>
      </c>
      <c r="U135" s="49">
        <v>0</v>
      </c>
      <c r="V135" s="49">
        <v>14696169</v>
      </c>
      <c r="W135" s="49">
        <v>13321925</v>
      </c>
      <c r="X135" s="49">
        <v>1374244</v>
      </c>
      <c r="Y135" s="70">
        <v>0.10299999999999999</v>
      </c>
    </row>
    <row r="136" spans="2:25" ht="15.75" hidden="1" thickBot="1" x14ac:dyDescent="0.3">
      <c r="B136" s="56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71"/>
    </row>
    <row r="137" spans="2:25" ht="15.75" hidden="1" thickBot="1" x14ac:dyDescent="0.3">
      <c r="B137" s="59" t="s">
        <v>105</v>
      </c>
      <c r="C137" s="60">
        <v>546903</v>
      </c>
      <c r="D137" s="60">
        <v>137715</v>
      </c>
      <c r="E137" s="60">
        <v>1093962</v>
      </c>
      <c r="F137" s="60">
        <v>1489641</v>
      </c>
      <c r="G137" s="60">
        <v>1142991</v>
      </c>
      <c r="H137" s="60">
        <v>1374414</v>
      </c>
      <c r="I137" s="60">
        <v>878347</v>
      </c>
      <c r="J137" s="60">
        <v>2560694</v>
      </c>
      <c r="K137" s="60">
        <v>1233270</v>
      </c>
      <c r="L137" s="60">
        <v>3516240</v>
      </c>
      <c r="M137" s="60">
        <v>12020650</v>
      </c>
      <c r="N137" s="60">
        <v>696992</v>
      </c>
      <c r="O137" s="60">
        <v>13104810</v>
      </c>
      <c r="P137" s="60">
        <v>46542573</v>
      </c>
      <c r="Q137" s="60">
        <v>17447699</v>
      </c>
      <c r="R137" s="60">
        <v>25057513</v>
      </c>
      <c r="S137" s="60">
        <v>574827</v>
      </c>
      <c r="T137" s="60">
        <v>1411373</v>
      </c>
      <c r="U137" s="60">
        <v>11809386</v>
      </c>
      <c r="V137" s="60">
        <v>142640000</v>
      </c>
      <c r="W137" s="60">
        <v>137513520</v>
      </c>
      <c r="X137" s="60">
        <v>5126480</v>
      </c>
      <c r="Y137" s="72">
        <v>3.6999999999999998E-2</v>
      </c>
    </row>
  </sheetData>
  <mergeCells count="6">
    <mergeCell ref="B6:V6"/>
    <mergeCell ref="B7:V7"/>
    <mergeCell ref="B8:V8"/>
    <mergeCell ref="B9:V9"/>
    <mergeCell ref="B76:V76"/>
    <mergeCell ref="B77:V77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AB176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U188" sqref="U188"/>
    </sheetView>
  </sheetViews>
  <sheetFormatPr defaultRowHeight="12.75" x14ac:dyDescent="0.2"/>
  <cols>
    <col min="1" max="1" width="37.140625" style="3" bestFit="1" customWidth="1"/>
    <col min="2" max="2" width="14" style="3" customWidth="1"/>
    <col min="3" max="3" width="9.28515625" style="3" customWidth="1"/>
    <col min="4" max="4" width="13.5703125" style="3" customWidth="1"/>
    <col min="5" max="5" width="10.85546875" style="3" customWidth="1"/>
    <col min="6" max="6" width="12.28515625" style="3" customWidth="1"/>
    <col min="7" max="7" width="15.42578125" style="3" customWidth="1"/>
    <col min="8" max="8" width="11" style="3" customWidth="1"/>
    <col min="9" max="9" width="11.28515625" style="3" customWidth="1"/>
    <col min="10" max="10" width="13.42578125" style="3" customWidth="1"/>
    <col min="11" max="11" width="11.28515625" style="3" customWidth="1"/>
    <col min="12" max="12" width="12.140625" style="3" customWidth="1"/>
    <col min="13" max="13" width="10.28515625" style="3" customWidth="1"/>
    <col min="14" max="14" width="12.42578125" style="3" customWidth="1"/>
    <col min="15" max="15" width="14.140625" style="3" customWidth="1"/>
    <col min="16" max="16" width="12.5703125" style="3" customWidth="1"/>
    <col min="17" max="17" width="12" style="3" bestFit="1" customWidth="1"/>
    <col min="18" max="18" width="10.85546875" style="3" bestFit="1" customWidth="1"/>
    <col min="19" max="19" width="12.85546875" style="3" customWidth="1"/>
    <col min="20" max="20" width="12" style="3" customWidth="1"/>
    <col min="21" max="22" width="13.28515625" style="3" bestFit="1" customWidth="1"/>
    <col min="23" max="23" width="13.85546875" style="3" bestFit="1" customWidth="1"/>
    <col min="24" max="24" width="10.5703125" style="3" bestFit="1" customWidth="1"/>
    <col min="25" max="25" width="9.140625" style="2"/>
    <col min="26" max="26" width="9.140625" style="3"/>
    <col min="27" max="27" width="39.5703125" style="3" hidden="1" customWidth="1"/>
    <col min="28" max="28" width="14.5703125" style="3" hidden="1" customWidth="1"/>
    <col min="29" max="29" width="0" style="3" hidden="1" customWidth="1"/>
    <col min="30" max="16384" width="9.140625" style="3"/>
  </cols>
  <sheetData>
    <row r="2" spans="1:2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8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8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8" ht="12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5"/>
      <c r="W8" s="5"/>
      <c r="X8" s="5"/>
    </row>
    <row r="9" spans="1:28" ht="30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5"/>
      <c r="W9" s="5"/>
      <c r="X9" s="5"/>
    </row>
    <row r="10" spans="1:28" s="11" customFormat="1" ht="38.25" customHeight="1" x14ac:dyDescent="0.2">
      <c r="A10" s="9" t="s">
        <v>0</v>
      </c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  <c r="L10" s="10" t="s">
        <v>11</v>
      </c>
      <c r="M10" s="10" t="s">
        <v>12</v>
      </c>
      <c r="N10" s="10" t="s">
        <v>13</v>
      </c>
      <c r="O10" s="10" t="s">
        <v>14</v>
      </c>
      <c r="P10" s="10" t="s">
        <v>15</v>
      </c>
      <c r="Q10" s="10" t="s">
        <v>16</v>
      </c>
      <c r="R10" s="10" t="s">
        <v>17</v>
      </c>
      <c r="S10" s="10" t="s">
        <v>18</v>
      </c>
      <c r="T10" s="10" t="s">
        <v>19</v>
      </c>
      <c r="U10" s="10" t="s">
        <v>20</v>
      </c>
      <c r="V10" s="10" t="s">
        <v>21</v>
      </c>
      <c r="W10" s="10" t="s">
        <v>22</v>
      </c>
      <c r="X10" s="10" t="s">
        <v>23</v>
      </c>
    </row>
    <row r="11" spans="1:28" ht="3" customHeight="1" thickBot="1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8" ht="12" customHeight="1" x14ac:dyDescent="0.2">
      <c r="A12" s="14" t="s">
        <v>24</v>
      </c>
      <c r="B12" s="15">
        <f>316095+14270</f>
        <v>330365</v>
      </c>
      <c r="C12" s="15">
        <v>67570</v>
      </c>
      <c r="D12" s="15">
        <f>232565+11651</f>
        <v>244216</v>
      </c>
      <c r="E12" s="15">
        <f>1296098+62142</f>
        <v>1358240</v>
      </c>
      <c r="F12" s="15">
        <f>410130+20107</f>
        <v>430237</v>
      </c>
      <c r="G12" s="15">
        <f>772263+42034</f>
        <v>814297</v>
      </c>
      <c r="H12" s="15">
        <f>622608+33971</f>
        <v>656579</v>
      </c>
      <c r="I12" s="15">
        <f>572651+21797</f>
        <v>594448</v>
      </c>
      <c r="J12" s="15">
        <v>931321</v>
      </c>
      <c r="K12" s="15">
        <f>1211587+45033</f>
        <v>1256620</v>
      </c>
      <c r="L12" s="16">
        <v>-840800</v>
      </c>
      <c r="M12" s="15">
        <f>392012+22609</f>
        <v>414621</v>
      </c>
      <c r="N12" s="15">
        <f>4185032+217871</f>
        <v>4402903</v>
      </c>
      <c r="O12" s="15">
        <f>6020744+419177</f>
        <v>6439921</v>
      </c>
      <c r="P12" s="15">
        <f>6081450+197650</f>
        <v>6279100</v>
      </c>
      <c r="Q12" s="15">
        <v>8013123</v>
      </c>
      <c r="R12" s="15">
        <f>476701+23046</f>
        <v>499747</v>
      </c>
      <c r="S12" s="15">
        <v>1213162</v>
      </c>
      <c r="T12" s="15">
        <v>3994487</v>
      </c>
      <c r="U12" s="15">
        <f>SUM(B12:T12)</f>
        <v>37100157</v>
      </c>
      <c r="V12" s="15">
        <f>VLOOKUP(A12,$AA$12:$AB$92,2,FALSE)+792177</f>
        <v>33457448</v>
      </c>
      <c r="W12" s="15">
        <f>U12-V12</f>
        <v>3642709</v>
      </c>
      <c r="X12" s="17">
        <f>IF(V12=0,100%,W12/V12)</f>
        <v>0.10887587720378435</v>
      </c>
      <c r="AA12" s="3" t="s">
        <v>24</v>
      </c>
      <c r="AB12" s="18">
        <v>32665271</v>
      </c>
    </row>
    <row r="13" spans="1:28" ht="12" customHeight="1" x14ac:dyDescent="0.2">
      <c r="A13" s="14" t="s">
        <v>25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1137601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f>SUM(B13:T13)</f>
        <v>1137601</v>
      </c>
      <c r="V13" s="19">
        <f t="shared" ref="V13:V50" si="0">VLOOKUP(A13,$AA$12:$AB$92,2,FALSE)</f>
        <v>779957</v>
      </c>
      <c r="W13" s="20">
        <f t="shared" ref="W13:W76" si="1">U13-V13</f>
        <v>357644</v>
      </c>
      <c r="X13" s="17">
        <f t="shared" ref="X13:X76" si="2">IF(V13=0,100%,W13/V13)</f>
        <v>0.45854322738304804</v>
      </c>
      <c r="AA13" s="3" t="s">
        <v>25</v>
      </c>
      <c r="AB13" s="18">
        <v>779957</v>
      </c>
    </row>
    <row r="14" spans="1:28" ht="12" customHeight="1" x14ac:dyDescent="0.2">
      <c r="A14" s="14" t="s">
        <v>26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32439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63000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f t="shared" ref="U14:U77" si="3">SUM(B14:T14)</f>
        <v>95439</v>
      </c>
      <c r="V14" s="19">
        <f t="shared" si="0"/>
        <v>23917</v>
      </c>
      <c r="W14" s="20">
        <f t="shared" si="1"/>
        <v>71522</v>
      </c>
      <c r="X14" s="17">
        <f t="shared" si="2"/>
        <v>2.9904252205544175</v>
      </c>
      <c r="AA14" s="3" t="s">
        <v>26</v>
      </c>
      <c r="AB14" s="18">
        <v>23917</v>
      </c>
    </row>
    <row r="15" spans="1:28" ht="12" customHeight="1" x14ac:dyDescent="0.2">
      <c r="A15" s="14" t="s">
        <v>27</v>
      </c>
      <c r="B15" s="19">
        <v>0</v>
      </c>
      <c r="C15" s="19">
        <v>0</v>
      </c>
      <c r="D15" s="19">
        <v>0</v>
      </c>
      <c r="E15" s="19">
        <v>700</v>
      </c>
      <c r="F15" s="19">
        <v>0</v>
      </c>
      <c r="G15" s="19">
        <v>2047</v>
      </c>
      <c r="H15" s="19">
        <v>0</v>
      </c>
      <c r="I15" s="19">
        <v>0</v>
      </c>
      <c r="J15" s="19">
        <v>1984</v>
      </c>
      <c r="K15" s="19">
        <v>2714</v>
      </c>
      <c r="L15" s="19">
        <v>0</v>
      </c>
      <c r="M15" s="19">
        <v>0</v>
      </c>
      <c r="N15" s="19">
        <v>57906</v>
      </c>
      <c r="O15" s="19">
        <v>138899</v>
      </c>
      <c r="P15" s="19">
        <v>90000</v>
      </c>
      <c r="Q15" s="19">
        <v>340000</v>
      </c>
      <c r="R15" s="19">
        <v>0</v>
      </c>
      <c r="S15" s="19">
        <v>0</v>
      </c>
      <c r="T15" s="19">
        <v>23421</v>
      </c>
      <c r="U15" s="19">
        <f t="shared" si="3"/>
        <v>657671</v>
      </c>
      <c r="V15" s="19">
        <f t="shared" si="0"/>
        <v>611286</v>
      </c>
      <c r="W15" s="20">
        <f t="shared" si="1"/>
        <v>46385</v>
      </c>
      <c r="X15" s="17">
        <f t="shared" si="2"/>
        <v>7.5881011506888751E-2</v>
      </c>
      <c r="AA15" s="3" t="s">
        <v>27</v>
      </c>
      <c r="AB15" s="18">
        <v>611286</v>
      </c>
    </row>
    <row r="16" spans="1:28" ht="12" customHeight="1" x14ac:dyDescent="0.2">
      <c r="A16" s="14" t="s">
        <v>28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f>9042372+305215</f>
        <v>9347587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f t="shared" si="3"/>
        <v>9347587</v>
      </c>
      <c r="V16" s="19">
        <f>VLOOKUP(A16,$AA$12:$AB$92,2,FALSE)+141307</f>
        <v>6163845</v>
      </c>
      <c r="W16" s="20">
        <f t="shared" si="1"/>
        <v>3183742</v>
      </c>
      <c r="X16" s="17">
        <f t="shared" si="2"/>
        <v>0.51651882875056077</v>
      </c>
      <c r="AA16" s="3" t="s">
        <v>28</v>
      </c>
      <c r="AB16" s="18">
        <v>6022538</v>
      </c>
    </row>
    <row r="17" spans="1:28" ht="12" customHeight="1" x14ac:dyDescent="0.2">
      <c r="A17" s="14" t="s">
        <v>29</v>
      </c>
      <c r="B17" s="19">
        <f>33023+1623</f>
        <v>34646</v>
      </c>
      <c r="C17" s="19">
        <v>8419</v>
      </c>
      <c r="D17" s="19">
        <f>28467+1543</f>
        <v>30010</v>
      </c>
      <c r="E17" s="19">
        <f>160840+8205</f>
        <v>169045</v>
      </c>
      <c r="F17" s="19">
        <f>51441+2688</f>
        <v>54129</v>
      </c>
      <c r="G17" s="19">
        <f>100194+5530</f>
        <v>105724</v>
      </c>
      <c r="H17" s="19">
        <f>77324+4498</f>
        <v>81822</v>
      </c>
      <c r="I17" s="19">
        <f>73461+2486</f>
        <v>75947</v>
      </c>
      <c r="J17" s="19">
        <v>116059</v>
      </c>
      <c r="K17" s="19">
        <f>154513+5962</f>
        <v>160475</v>
      </c>
      <c r="L17" s="21">
        <v>-104550</v>
      </c>
      <c r="M17" s="19">
        <f>49442+2817</f>
        <v>52259</v>
      </c>
      <c r="N17" s="19">
        <f>531886+28862</f>
        <v>560748</v>
      </c>
      <c r="O17" s="19">
        <f>757410+55531</f>
        <v>812941</v>
      </c>
      <c r="P17" s="19">
        <f>760940+24876</f>
        <v>785816</v>
      </c>
      <c r="Q17" s="19">
        <v>1007889</v>
      </c>
      <c r="R17" s="19">
        <f>58984+3198</f>
        <v>62182</v>
      </c>
      <c r="S17" s="19">
        <v>147084</v>
      </c>
      <c r="T17" s="19">
        <v>491628</v>
      </c>
      <c r="U17" s="19">
        <f t="shared" si="3"/>
        <v>4652273</v>
      </c>
      <c r="V17" s="19">
        <f>VLOOKUP(A17,$AA$12:$AB$92,2,FALSE)+120190</f>
        <v>4451536</v>
      </c>
      <c r="W17" s="20">
        <f t="shared" si="1"/>
        <v>200737</v>
      </c>
      <c r="X17" s="17">
        <f t="shared" si="2"/>
        <v>4.5093873215896717E-2</v>
      </c>
      <c r="AA17" s="3" t="s">
        <v>29</v>
      </c>
      <c r="AB17" s="18">
        <v>4331346</v>
      </c>
    </row>
    <row r="18" spans="1:28" ht="12" customHeight="1" x14ac:dyDescent="0.2">
      <c r="A18" s="14" t="s">
        <v>30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4056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8102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f t="shared" si="3"/>
        <v>12158</v>
      </c>
      <c r="V18" s="19">
        <f t="shared" si="0"/>
        <v>3167</v>
      </c>
      <c r="W18" s="20">
        <f t="shared" si="1"/>
        <v>8991</v>
      </c>
      <c r="X18" s="17">
        <f t="shared" si="2"/>
        <v>2.8389643195453109</v>
      </c>
      <c r="AA18" s="3" t="s">
        <v>30</v>
      </c>
      <c r="AB18" s="18">
        <v>3167</v>
      </c>
    </row>
    <row r="19" spans="1:28" ht="12" customHeight="1" x14ac:dyDescent="0.2">
      <c r="A19" s="14" t="s">
        <v>31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143090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f t="shared" si="3"/>
        <v>143090</v>
      </c>
      <c r="V19" s="19">
        <f t="shared" si="0"/>
        <v>148080</v>
      </c>
      <c r="W19" s="20">
        <f t="shared" si="1"/>
        <v>-4990</v>
      </c>
      <c r="X19" s="17">
        <f t="shared" si="2"/>
        <v>-3.3698001080497031E-2</v>
      </c>
      <c r="AA19" s="3" t="s">
        <v>31</v>
      </c>
      <c r="AB19" s="18">
        <v>148080</v>
      </c>
    </row>
    <row r="20" spans="1:28" ht="12" customHeight="1" x14ac:dyDescent="0.2">
      <c r="A20" s="14" t="s">
        <v>32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25894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f t="shared" si="3"/>
        <v>25894</v>
      </c>
      <c r="V20" s="19">
        <f t="shared" si="0"/>
        <v>32000</v>
      </c>
      <c r="W20" s="20">
        <f t="shared" si="1"/>
        <v>-6106</v>
      </c>
      <c r="X20" s="17">
        <f t="shared" si="2"/>
        <v>-0.1908125</v>
      </c>
      <c r="AA20" s="3" t="s">
        <v>32</v>
      </c>
      <c r="AB20" s="18">
        <v>32000</v>
      </c>
    </row>
    <row r="21" spans="1:28" ht="12" customHeight="1" x14ac:dyDescent="0.2">
      <c r="A21" s="14" t="s">
        <v>33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200000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f t="shared" si="3"/>
        <v>200000</v>
      </c>
      <c r="V21" s="19">
        <f t="shared" si="0"/>
        <v>200000</v>
      </c>
      <c r="W21" s="20">
        <f t="shared" si="1"/>
        <v>0</v>
      </c>
      <c r="X21" s="17">
        <f t="shared" si="2"/>
        <v>0</v>
      </c>
      <c r="AA21" s="3" t="s">
        <v>33</v>
      </c>
      <c r="AB21" s="18">
        <v>200000</v>
      </c>
    </row>
    <row r="22" spans="1:28" ht="12" customHeight="1" x14ac:dyDescent="0.2">
      <c r="A22" s="14" t="s">
        <v>34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1920000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f t="shared" si="3"/>
        <v>1920000</v>
      </c>
      <c r="V22" s="19">
        <f t="shared" si="0"/>
        <v>3933001</v>
      </c>
      <c r="W22" s="20">
        <f t="shared" si="1"/>
        <v>-2013001</v>
      </c>
      <c r="X22" s="17">
        <f t="shared" si="2"/>
        <v>-0.5118231599737707</v>
      </c>
      <c r="AA22" s="3" t="s">
        <v>34</v>
      </c>
      <c r="AB22" s="18">
        <v>3933001</v>
      </c>
    </row>
    <row r="23" spans="1:28" ht="12" customHeight="1" x14ac:dyDescent="0.2">
      <c r="A23" s="14" t="s">
        <v>35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350524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f t="shared" si="3"/>
        <v>350524</v>
      </c>
      <c r="V23" s="19">
        <f t="shared" si="0"/>
        <v>323960</v>
      </c>
      <c r="W23" s="20">
        <f t="shared" si="1"/>
        <v>26564</v>
      </c>
      <c r="X23" s="17">
        <f t="shared" si="2"/>
        <v>8.1997777503395486E-2</v>
      </c>
      <c r="AA23" s="3" t="s">
        <v>35</v>
      </c>
      <c r="AB23" s="18">
        <v>323960</v>
      </c>
    </row>
    <row r="24" spans="1:28" ht="12" customHeight="1" x14ac:dyDescent="0.2">
      <c r="A24" s="14" t="s">
        <v>36</v>
      </c>
      <c r="B24" s="19">
        <v>2046</v>
      </c>
      <c r="C24" s="19">
        <v>45842</v>
      </c>
      <c r="D24" s="19">
        <v>0</v>
      </c>
      <c r="E24" s="19">
        <v>2200</v>
      </c>
      <c r="F24" s="19">
        <v>0</v>
      </c>
      <c r="G24" s="19">
        <v>6643</v>
      </c>
      <c r="H24" s="19">
        <v>565</v>
      </c>
      <c r="I24" s="19">
        <v>0</v>
      </c>
      <c r="J24" s="19">
        <v>1349</v>
      </c>
      <c r="K24" s="19">
        <v>11688</v>
      </c>
      <c r="L24" s="19">
        <v>0</v>
      </c>
      <c r="M24" s="19">
        <v>6360</v>
      </c>
      <c r="N24" s="19">
        <v>9104</v>
      </c>
      <c r="O24" s="19">
        <v>11080</v>
      </c>
      <c r="P24" s="19">
        <v>0</v>
      </c>
      <c r="Q24" s="19">
        <v>2100</v>
      </c>
      <c r="R24" s="19">
        <v>880</v>
      </c>
      <c r="S24" s="19">
        <v>0</v>
      </c>
      <c r="T24" s="19">
        <v>0</v>
      </c>
      <c r="U24" s="19">
        <f t="shared" si="3"/>
        <v>99857</v>
      </c>
      <c r="V24" s="19">
        <f t="shared" si="0"/>
        <v>105718</v>
      </c>
      <c r="W24" s="20">
        <f t="shared" si="1"/>
        <v>-5861</v>
      </c>
      <c r="X24" s="17">
        <f t="shared" si="2"/>
        <v>-5.54399440019675E-2</v>
      </c>
      <c r="AA24" s="3" t="s">
        <v>36</v>
      </c>
      <c r="AB24" s="18">
        <v>105718</v>
      </c>
    </row>
    <row r="25" spans="1:28" ht="12" customHeight="1" x14ac:dyDescent="0.2">
      <c r="A25" s="14" t="s">
        <v>37</v>
      </c>
      <c r="B25" s="19">
        <v>120176</v>
      </c>
      <c r="C25" s="19">
        <v>0</v>
      </c>
      <c r="D25" s="19">
        <v>495215</v>
      </c>
      <c r="E25" s="19">
        <v>900</v>
      </c>
      <c r="F25" s="19">
        <f>530700+100000</f>
        <v>630700</v>
      </c>
      <c r="G25" s="19">
        <v>127644</v>
      </c>
      <c r="H25" s="19">
        <v>42995</v>
      </c>
      <c r="I25" s="19">
        <v>0</v>
      </c>
      <c r="J25" s="19">
        <v>151809</v>
      </c>
      <c r="K25" s="19">
        <v>1014637</v>
      </c>
      <c r="L25" s="19">
        <v>0</v>
      </c>
      <c r="M25" s="19">
        <v>127198</v>
      </c>
      <c r="N25" s="19">
        <v>6331136</v>
      </c>
      <c r="O25" s="19">
        <f>1629274+774515</f>
        <v>2403789</v>
      </c>
      <c r="P25" s="19">
        <v>4068402</v>
      </c>
      <c r="Q25" s="19">
        <v>100000</v>
      </c>
      <c r="R25" s="19">
        <f>950000+53700</f>
        <v>1003700</v>
      </c>
      <c r="S25" s="19">
        <v>29480</v>
      </c>
      <c r="T25" s="19">
        <v>39461</v>
      </c>
      <c r="U25" s="19">
        <f t="shared" si="3"/>
        <v>16687242</v>
      </c>
      <c r="V25" s="19">
        <f>VLOOKUP(A25,$AA$12:$AB$92,2,FALSE)+153700</f>
        <v>21729940</v>
      </c>
      <c r="W25" s="20">
        <f t="shared" si="1"/>
        <v>-5042698</v>
      </c>
      <c r="X25" s="17">
        <f t="shared" si="2"/>
        <v>-0.23206221462185353</v>
      </c>
      <c r="AA25" s="3" t="s">
        <v>37</v>
      </c>
      <c r="AB25" s="18">
        <v>21576240</v>
      </c>
    </row>
    <row r="26" spans="1:28" ht="12" customHeight="1" x14ac:dyDescent="0.2">
      <c r="A26" s="14" t="s">
        <v>38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f>4220000+500000</f>
        <v>4720000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f t="shared" si="3"/>
        <v>4720000</v>
      </c>
      <c r="V26" s="19">
        <f>VLOOKUP(A26,$AA$12:$AB$92,2,FALSE)+500000</f>
        <v>3350000</v>
      </c>
      <c r="W26" s="20">
        <f t="shared" si="1"/>
        <v>1370000</v>
      </c>
      <c r="X26" s="17">
        <f t="shared" si="2"/>
        <v>0.40895522388059702</v>
      </c>
      <c r="AA26" s="3" t="s">
        <v>38</v>
      </c>
      <c r="AB26" s="18">
        <v>2850000</v>
      </c>
    </row>
    <row r="27" spans="1:28" ht="12" customHeight="1" x14ac:dyDescent="0.2">
      <c r="A27" s="14" t="s">
        <v>39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f>198239+30000</f>
        <v>228239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f t="shared" si="3"/>
        <v>228239</v>
      </c>
      <c r="V27" s="19">
        <f>VLOOKUP(A27,$AA$12:$AB$92,2,FALSE)+11210</f>
        <v>203818</v>
      </c>
      <c r="W27" s="20">
        <f t="shared" si="1"/>
        <v>24421</v>
      </c>
      <c r="X27" s="17">
        <f t="shared" si="2"/>
        <v>0.1198176804796436</v>
      </c>
      <c r="AA27" s="3" t="s">
        <v>39</v>
      </c>
      <c r="AB27" s="18">
        <v>192608</v>
      </c>
    </row>
    <row r="28" spans="1:28" ht="12" customHeight="1" x14ac:dyDescent="0.2">
      <c r="A28" s="14" t="s">
        <v>40</v>
      </c>
      <c r="B28" s="19">
        <v>0</v>
      </c>
      <c r="C28" s="19">
        <v>0</v>
      </c>
      <c r="D28" s="19">
        <v>468500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f t="shared" si="3"/>
        <v>468500</v>
      </c>
      <c r="V28" s="19">
        <f t="shared" si="0"/>
        <v>503250</v>
      </c>
      <c r="W28" s="20">
        <f t="shared" si="1"/>
        <v>-34750</v>
      </c>
      <c r="X28" s="17">
        <f t="shared" si="2"/>
        <v>-6.9051167411823156E-2</v>
      </c>
      <c r="AA28" s="3" t="s">
        <v>40</v>
      </c>
      <c r="AB28" s="18">
        <v>503250</v>
      </c>
    </row>
    <row r="29" spans="1:28" ht="12" customHeight="1" x14ac:dyDescent="0.2">
      <c r="A29" s="14" t="s">
        <v>41</v>
      </c>
      <c r="B29" s="19">
        <v>0</v>
      </c>
      <c r="C29" s="19">
        <v>0</v>
      </c>
      <c r="D29" s="19">
        <v>94000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f t="shared" si="3"/>
        <v>94000</v>
      </c>
      <c r="V29" s="19">
        <f t="shared" si="0"/>
        <v>100000</v>
      </c>
      <c r="W29" s="20">
        <f t="shared" si="1"/>
        <v>-6000</v>
      </c>
      <c r="X29" s="17">
        <f t="shared" si="2"/>
        <v>-0.06</v>
      </c>
      <c r="AA29" s="3" t="s">
        <v>41</v>
      </c>
      <c r="AB29" s="18">
        <v>100000</v>
      </c>
    </row>
    <row r="30" spans="1:28" ht="12" customHeight="1" x14ac:dyDescent="0.2">
      <c r="A30" s="14" t="s">
        <v>42</v>
      </c>
      <c r="B30" s="19">
        <v>0</v>
      </c>
      <c r="C30" s="19">
        <v>0</v>
      </c>
      <c r="D30" s="19">
        <v>3821713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f t="shared" si="3"/>
        <v>3821713</v>
      </c>
      <c r="V30" s="19">
        <f t="shared" si="0"/>
        <v>4385000</v>
      </c>
      <c r="W30" s="20">
        <f t="shared" si="1"/>
        <v>-563287</v>
      </c>
      <c r="X30" s="17">
        <f t="shared" si="2"/>
        <v>-0.12845769669327253</v>
      </c>
      <c r="AA30" s="3" t="s">
        <v>42</v>
      </c>
      <c r="AB30" s="18">
        <v>4385000</v>
      </c>
    </row>
    <row r="31" spans="1:28" ht="12" customHeight="1" x14ac:dyDescent="0.2">
      <c r="A31" s="14" t="s">
        <v>43</v>
      </c>
      <c r="B31" s="19">
        <v>0</v>
      </c>
      <c r="C31" s="19">
        <v>0</v>
      </c>
      <c r="D31" s="19">
        <v>0</v>
      </c>
      <c r="E31" s="19">
        <v>0</v>
      </c>
      <c r="F31" s="19">
        <v>1401390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750000</v>
      </c>
      <c r="U31" s="19">
        <f t="shared" si="3"/>
        <v>2151390</v>
      </c>
      <c r="V31" s="19">
        <f t="shared" si="0"/>
        <v>3180000</v>
      </c>
      <c r="W31" s="20">
        <f t="shared" si="1"/>
        <v>-1028610</v>
      </c>
      <c r="X31" s="17">
        <f t="shared" si="2"/>
        <v>-0.32346226415094342</v>
      </c>
      <c r="AA31" s="3" t="s">
        <v>43</v>
      </c>
      <c r="AB31" s="18">
        <v>3180000</v>
      </c>
    </row>
    <row r="32" spans="1:28" ht="12" customHeight="1" x14ac:dyDescent="0.2">
      <c r="A32" s="14" t="s">
        <v>44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5602076</v>
      </c>
      <c r="U32" s="19">
        <f t="shared" si="3"/>
        <v>5602076</v>
      </c>
      <c r="V32" s="19">
        <f t="shared" si="0"/>
        <v>4876351</v>
      </c>
      <c r="W32" s="20">
        <f t="shared" si="1"/>
        <v>725725</v>
      </c>
      <c r="X32" s="17">
        <f t="shared" si="2"/>
        <v>0.14882542294432866</v>
      </c>
      <c r="AA32" s="3" t="s">
        <v>44</v>
      </c>
      <c r="AB32" s="18">
        <v>4876351</v>
      </c>
    </row>
    <row r="33" spans="1:28" ht="12" customHeight="1" x14ac:dyDescent="0.2">
      <c r="A33" s="14" t="s">
        <v>45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19503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f t="shared" si="3"/>
        <v>19503</v>
      </c>
      <c r="V33" s="19">
        <f t="shared" si="0"/>
        <v>19592</v>
      </c>
      <c r="W33" s="20">
        <f t="shared" si="1"/>
        <v>-89</v>
      </c>
      <c r="X33" s="17">
        <f t="shared" si="2"/>
        <v>-4.5426704777460185E-3</v>
      </c>
      <c r="AA33" s="3" t="s">
        <v>45</v>
      </c>
      <c r="AB33" s="18">
        <v>19592</v>
      </c>
    </row>
    <row r="34" spans="1:28" ht="12" customHeight="1" x14ac:dyDescent="0.2">
      <c r="A34" s="14" t="s">
        <v>46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4596611</v>
      </c>
      <c r="Q34" s="19">
        <v>7353917</v>
      </c>
      <c r="R34" s="19">
        <v>0</v>
      </c>
      <c r="S34" s="19">
        <v>0</v>
      </c>
      <c r="T34" s="19">
        <v>4525</v>
      </c>
      <c r="U34" s="19">
        <f t="shared" si="3"/>
        <v>11955053</v>
      </c>
      <c r="V34" s="19">
        <f t="shared" si="0"/>
        <v>11885519</v>
      </c>
      <c r="W34" s="20">
        <f t="shared" si="1"/>
        <v>69534</v>
      </c>
      <c r="X34" s="17">
        <f t="shared" si="2"/>
        <v>5.8503124684752932E-3</v>
      </c>
      <c r="AA34" s="3" t="s">
        <v>46</v>
      </c>
      <c r="AB34" s="18">
        <v>11885519</v>
      </c>
    </row>
    <row r="35" spans="1:28" ht="12" customHeight="1" x14ac:dyDescent="0.2">
      <c r="A35" s="14" t="s">
        <v>47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2134500</v>
      </c>
      <c r="R35" s="19">
        <v>0</v>
      </c>
      <c r="S35" s="19">
        <v>0</v>
      </c>
      <c r="T35" s="19">
        <v>0</v>
      </c>
      <c r="U35" s="19">
        <f t="shared" si="3"/>
        <v>2134500</v>
      </c>
      <c r="V35" s="19">
        <f t="shared" si="0"/>
        <v>2040000</v>
      </c>
      <c r="W35" s="20">
        <f t="shared" si="1"/>
        <v>94500</v>
      </c>
      <c r="X35" s="17">
        <f t="shared" si="2"/>
        <v>4.6323529411764708E-2</v>
      </c>
      <c r="AA35" s="3" t="s">
        <v>47</v>
      </c>
      <c r="AB35" s="18">
        <v>2040000</v>
      </c>
    </row>
    <row r="36" spans="1:28" ht="12" customHeight="1" x14ac:dyDescent="0.2">
      <c r="A36" s="14" t="s">
        <v>48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12764000</v>
      </c>
      <c r="Q36" s="19">
        <v>1421804</v>
      </c>
      <c r="R36" s="19">
        <v>0</v>
      </c>
      <c r="S36" s="19">
        <v>0</v>
      </c>
      <c r="T36" s="19">
        <v>0</v>
      </c>
      <c r="U36" s="19">
        <f t="shared" si="3"/>
        <v>14185804</v>
      </c>
      <c r="V36" s="19">
        <f t="shared" si="0"/>
        <v>7869102</v>
      </c>
      <c r="W36" s="20">
        <f t="shared" si="1"/>
        <v>6316702</v>
      </c>
      <c r="X36" s="17">
        <f t="shared" si="2"/>
        <v>0.80272208950906976</v>
      </c>
      <c r="AA36" s="3" t="s">
        <v>48</v>
      </c>
      <c r="AB36" s="18">
        <v>7869102</v>
      </c>
    </row>
    <row r="37" spans="1:28" ht="12" customHeight="1" x14ac:dyDescent="0.2">
      <c r="A37" s="14" t="s">
        <v>49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95000</v>
      </c>
      <c r="R37" s="19">
        <v>0</v>
      </c>
      <c r="S37" s="19">
        <v>0</v>
      </c>
      <c r="T37" s="19">
        <v>0</v>
      </c>
      <c r="U37" s="19">
        <f t="shared" si="3"/>
        <v>95000</v>
      </c>
      <c r="V37" s="19">
        <f t="shared" si="0"/>
        <v>55000</v>
      </c>
      <c r="W37" s="20">
        <f t="shared" si="1"/>
        <v>40000</v>
      </c>
      <c r="X37" s="17">
        <f t="shared" si="2"/>
        <v>0.72727272727272729</v>
      </c>
      <c r="AA37" s="3" t="s">
        <v>49</v>
      </c>
      <c r="AB37" s="18">
        <v>55000</v>
      </c>
    </row>
    <row r="38" spans="1:28" ht="12" customHeight="1" x14ac:dyDescent="0.2">
      <c r="A38" s="14" t="s">
        <v>50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1213000</v>
      </c>
      <c r="R38" s="19">
        <v>0</v>
      </c>
      <c r="S38" s="19">
        <v>0</v>
      </c>
      <c r="T38" s="19">
        <v>0</v>
      </c>
      <c r="U38" s="19">
        <f t="shared" si="3"/>
        <v>1213000</v>
      </c>
      <c r="V38" s="19">
        <f t="shared" si="0"/>
        <v>0</v>
      </c>
      <c r="W38" s="20">
        <f t="shared" si="1"/>
        <v>1213000</v>
      </c>
      <c r="X38" s="17">
        <f t="shared" si="2"/>
        <v>1</v>
      </c>
      <c r="AA38" s="3" t="s">
        <v>50</v>
      </c>
      <c r="AB38" s="18">
        <v>0</v>
      </c>
    </row>
    <row r="39" spans="1:28" ht="12" customHeight="1" x14ac:dyDescent="0.2">
      <c r="A39" s="14" t="s">
        <v>51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6930000</v>
      </c>
      <c r="R39" s="19">
        <v>0</v>
      </c>
      <c r="S39" s="19">
        <v>0</v>
      </c>
      <c r="T39" s="19">
        <v>0</v>
      </c>
      <c r="U39" s="19">
        <f t="shared" si="3"/>
        <v>6930000</v>
      </c>
      <c r="V39" s="19">
        <f t="shared" si="0"/>
        <v>4085000</v>
      </c>
      <c r="W39" s="20">
        <f t="shared" si="1"/>
        <v>2845000</v>
      </c>
      <c r="X39" s="17">
        <f t="shared" si="2"/>
        <v>0.69645042839657278</v>
      </c>
      <c r="AA39" s="3" t="s">
        <v>51</v>
      </c>
      <c r="AB39" s="18">
        <v>4085000</v>
      </c>
    </row>
    <row r="40" spans="1:28" ht="12" customHeight="1" x14ac:dyDescent="0.2">
      <c r="A40" s="14" t="s">
        <v>52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7283395</v>
      </c>
      <c r="R40" s="19">
        <v>0</v>
      </c>
      <c r="S40" s="19">
        <v>0</v>
      </c>
      <c r="T40" s="19">
        <v>0</v>
      </c>
      <c r="U40" s="19">
        <f t="shared" si="3"/>
        <v>7283395</v>
      </c>
      <c r="V40" s="19">
        <f t="shared" si="0"/>
        <v>2160000</v>
      </c>
      <c r="W40" s="20">
        <f t="shared" si="1"/>
        <v>5123395</v>
      </c>
      <c r="X40" s="17">
        <f t="shared" si="2"/>
        <v>2.3719421296296295</v>
      </c>
      <c r="AA40" s="3" t="s">
        <v>52</v>
      </c>
      <c r="AB40" s="18">
        <v>2160000</v>
      </c>
    </row>
    <row r="41" spans="1:28" ht="12" customHeight="1" x14ac:dyDescent="0.2">
      <c r="A41" s="14" t="s">
        <v>53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1065000</v>
      </c>
      <c r="R41" s="19">
        <v>0</v>
      </c>
      <c r="S41" s="19">
        <v>0</v>
      </c>
      <c r="T41" s="19">
        <v>0</v>
      </c>
      <c r="U41" s="19">
        <f t="shared" si="3"/>
        <v>1065000</v>
      </c>
      <c r="V41" s="19">
        <f t="shared" si="0"/>
        <v>0</v>
      </c>
      <c r="W41" s="20">
        <f t="shared" si="1"/>
        <v>1065000</v>
      </c>
      <c r="X41" s="17">
        <f t="shared" si="2"/>
        <v>1</v>
      </c>
      <c r="AA41" s="3" t="s">
        <v>53</v>
      </c>
      <c r="AB41" s="18">
        <v>0</v>
      </c>
    </row>
    <row r="42" spans="1:28" ht="12" customHeight="1" x14ac:dyDescent="0.2">
      <c r="A42" s="14" t="s">
        <v>54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36042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f t="shared" si="3"/>
        <v>36042</v>
      </c>
      <c r="V42" s="19">
        <f t="shared" si="0"/>
        <v>41191</v>
      </c>
      <c r="W42" s="20">
        <f t="shared" si="1"/>
        <v>-5149</v>
      </c>
      <c r="X42" s="17">
        <f t="shared" si="2"/>
        <v>-0.12500303464349008</v>
      </c>
      <c r="AA42" s="3" t="s">
        <v>54</v>
      </c>
      <c r="AB42" s="18">
        <v>41191</v>
      </c>
    </row>
    <row r="43" spans="1:28" ht="12" customHeight="1" x14ac:dyDescent="0.2">
      <c r="A43" s="14" t="s">
        <v>55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110000</v>
      </c>
      <c r="M43" s="19">
        <v>0</v>
      </c>
      <c r="N43" s="19">
        <v>52808</v>
      </c>
      <c r="O43" s="19">
        <v>0</v>
      </c>
      <c r="P43" s="19">
        <v>0</v>
      </c>
      <c r="Q43" s="19">
        <v>171350</v>
      </c>
      <c r="R43" s="19">
        <v>0</v>
      </c>
      <c r="S43" s="19">
        <v>0</v>
      </c>
      <c r="T43" s="19">
        <v>0</v>
      </c>
      <c r="U43" s="19">
        <f t="shared" si="3"/>
        <v>334158</v>
      </c>
      <c r="V43" s="19">
        <f t="shared" si="0"/>
        <v>152916</v>
      </c>
      <c r="W43" s="20">
        <f t="shared" si="1"/>
        <v>181242</v>
      </c>
      <c r="X43" s="17">
        <f t="shared" si="2"/>
        <v>1.1852389547202387</v>
      </c>
      <c r="AA43" s="3" t="s">
        <v>55</v>
      </c>
      <c r="AB43" s="18">
        <v>152916</v>
      </c>
    </row>
    <row r="44" spans="1:28" ht="12" customHeight="1" x14ac:dyDescent="0.2">
      <c r="A44" s="14" t="s">
        <v>56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1448637</v>
      </c>
      <c r="U44" s="19">
        <f t="shared" si="3"/>
        <v>1448637</v>
      </c>
      <c r="V44" s="19">
        <f t="shared" si="0"/>
        <v>1281853</v>
      </c>
      <c r="W44" s="20">
        <f t="shared" si="1"/>
        <v>166784</v>
      </c>
      <c r="X44" s="17">
        <f t="shared" si="2"/>
        <v>0.13011164306671669</v>
      </c>
      <c r="AA44" s="3" t="s">
        <v>56</v>
      </c>
      <c r="AB44" s="18">
        <v>1281853</v>
      </c>
    </row>
    <row r="45" spans="1:28" ht="12" customHeight="1" x14ac:dyDescent="0.2">
      <c r="A45" s="14" t="s">
        <v>57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85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1032049</v>
      </c>
      <c r="O45" s="19">
        <f>8326937+519850</f>
        <v>8846787</v>
      </c>
      <c r="P45" s="19">
        <v>0</v>
      </c>
      <c r="Q45" s="19">
        <v>0</v>
      </c>
      <c r="R45" s="19">
        <v>0</v>
      </c>
      <c r="S45" s="19">
        <v>0</v>
      </c>
      <c r="T45" s="19">
        <v>2558</v>
      </c>
      <c r="U45" s="19">
        <f t="shared" si="3"/>
        <v>9881479</v>
      </c>
      <c r="V45" s="19">
        <f t="shared" si="0"/>
        <v>7971456</v>
      </c>
      <c r="W45" s="20">
        <f t="shared" si="1"/>
        <v>1910023</v>
      </c>
      <c r="X45" s="17">
        <f t="shared" si="2"/>
        <v>0.23960779561475343</v>
      </c>
      <c r="AA45" s="3" t="s">
        <v>57</v>
      </c>
      <c r="AB45" s="18">
        <v>7971456</v>
      </c>
    </row>
    <row r="46" spans="1:28" ht="12" customHeight="1" x14ac:dyDescent="0.2">
      <c r="A46" s="14" t="s">
        <v>58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848078</v>
      </c>
      <c r="Q46" s="19">
        <v>0</v>
      </c>
      <c r="R46" s="19">
        <v>0</v>
      </c>
      <c r="S46" s="19">
        <v>0</v>
      </c>
      <c r="T46" s="19">
        <v>0</v>
      </c>
      <c r="U46" s="19">
        <f t="shared" si="3"/>
        <v>848078</v>
      </c>
      <c r="V46" s="19">
        <f t="shared" si="0"/>
        <v>858181</v>
      </c>
      <c r="W46" s="20">
        <f t="shared" si="1"/>
        <v>-10103</v>
      </c>
      <c r="X46" s="17">
        <f t="shared" si="2"/>
        <v>-1.1772574783175111E-2</v>
      </c>
      <c r="AA46" s="3" t="s">
        <v>58</v>
      </c>
      <c r="AB46" s="18">
        <v>858181</v>
      </c>
    </row>
    <row r="47" spans="1:28" ht="12" customHeight="1" x14ac:dyDescent="0.2">
      <c r="A47" s="14" t="s">
        <v>59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130661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f t="shared" si="3"/>
        <v>130661</v>
      </c>
      <c r="V47" s="19">
        <f t="shared" si="0"/>
        <v>153380</v>
      </c>
      <c r="W47" s="20">
        <f t="shared" si="1"/>
        <v>-22719</v>
      </c>
      <c r="X47" s="17">
        <f t="shared" si="2"/>
        <v>-0.14812231060112141</v>
      </c>
      <c r="AA47" s="3" t="s">
        <v>60</v>
      </c>
      <c r="AB47" s="18">
        <v>0</v>
      </c>
    </row>
    <row r="48" spans="1:28" ht="12" customHeight="1" x14ac:dyDescent="0.2">
      <c r="A48" s="14" t="s">
        <v>61</v>
      </c>
      <c r="B48" s="19">
        <v>0</v>
      </c>
      <c r="C48" s="19">
        <v>0</v>
      </c>
      <c r="D48" s="19">
        <v>1100</v>
      </c>
      <c r="E48" s="19">
        <v>0</v>
      </c>
      <c r="F48" s="19">
        <v>0</v>
      </c>
      <c r="G48" s="19">
        <v>0</v>
      </c>
      <c r="H48" s="19">
        <v>339</v>
      </c>
      <c r="I48" s="19">
        <v>0</v>
      </c>
      <c r="J48" s="19">
        <v>5284</v>
      </c>
      <c r="K48" s="19">
        <f>489800+250000</f>
        <v>739800</v>
      </c>
      <c r="L48" s="19">
        <v>0</v>
      </c>
      <c r="M48" s="19">
        <v>0</v>
      </c>
      <c r="N48" s="19">
        <v>0</v>
      </c>
      <c r="O48" s="19">
        <v>5472</v>
      </c>
      <c r="P48" s="19">
        <v>0</v>
      </c>
      <c r="Q48" s="19">
        <v>8700</v>
      </c>
      <c r="R48" s="19">
        <v>0</v>
      </c>
      <c r="S48" s="19">
        <v>0</v>
      </c>
      <c r="T48" s="19">
        <v>0</v>
      </c>
      <c r="U48" s="19">
        <f t="shared" si="3"/>
        <v>760695</v>
      </c>
      <c r="V48" s="19">
        <f>VLOOKUP(A48,$AA$12:$AB$92,2,FALSE)+250000</f>
        <v>736595</v>
      </c>
      <c r="W48" s="20">
        <f t="shared" si="1"/>
        <v>24100</v>
      </c>
      <c r="X48" s="17">
        <f t="shared" si="2"/>
        <v>3.2718115110746071E-2</v>
      </c>
      <c r="AA48" s="3" t="s">
        <v>59</v>
      </c>
      <c r="AB48" s="18">
        <v>153380</v>
      </c>
    </row>
    <row r="49" spans="1:28" ht="12" customHeight="1" x14ac:dyDescent="0.2">
      <c r="A49" s="14" t="s">
        <v>62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f>193050+250000</f>
        <v>443050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f t="shared" si="3"/>
        <v>443050</v>
      </c>
      <c r="V49" s="19">
        <f>VLOOKUP(A49,$AA$12:$AB$92,2,FALSE)+250000</f>
        <v>425500</v>
      </c>
      <c r="W49" s="20">
        <f t="shared" si="1"/>
        <v>17550</v>
      </c>
      <c r="X49" s="17">
        <f t="shared" si="2"/>
        <v>4.1245593419506461E-2</v>
      </c>
      <c r="AA49" s="3" t="s">
        <v>61</v>
      </c>
      <c r="AB49" s="18">
        <v>486595</v>
      </c>
    </row>
    <row r="50" spans="1:28" ht="12" customHeight="1" x14ac:dyDescent="0.2">
      <c r="A50" s="14" t="s">
        <v>63</v>
      </c>
      <c r="B50" s="19">
        <v>11666</v>
      </c>
      <c r="C50" s="19">
        <v>0</v>
      </c>
      <c r="D50" s="19">
        <v>0</v>
      </c>
      <c r="E50" s="19">
        <v>260</v>
      </c>
      <c r="F50" s="19">
        <v>0</v>
      </c>
      <c r="G50" s="19">
        <v>66370</v>
      </c>
      <c r="H50" s="19">
        <v>0</v>
      </c>
      <c r="I50" s="19">
        <v>0</v>
      </c>
      <c r="J50" s="19">
        <v>56783</v>
      </c>
      <c r="K50" s="19">
        <v>322389</v>
      </c>
      <c r="L50" s="19">
        <v>0</v>
      </c>
      <c r="M50" s="19">
        <v>17399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6610</v>
      </c>
      <c r="U50" s="19">
        <f t="shared" si="3"/>
        <v>481477</v>
      </c>
      <c r="V50" s="19">
        <f t="shared" si="0"/>
        <v>637835</v>
      </c>
      <c r="W50" s="20">
        <f t="shared" si="1"/>
        <v>-156358</v>
      </c>
      <c r="X50" s="17">
        <f t="shared" si="2"/>
        <v>-0.24513863303205374</v>
      </c>
      <c r="AA50" s="3" t="s">
        <v>62</v>
      </c>
      <c r="AB50" s="18">
        <v>175500</v>
      </c>
    </row>
    <row r="51" spans="1:28" ht="12" customHeight="1" x14ac:dyDescent="0.2">
      <c r="A51" s="14" t="s">
        <v>64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1500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f t="shared" si="3"/>
        <v>1500</v>
      </c>
      <c r="V51" s="19">
        <v>0</v>
      </c>
      <c r="W51" s="20">
        <f t="shared" si="1"/>
        <v>1500</v>
      </c>
      <c r="X51" s="17">
        <f t="shared" si="2"/>
        <v>1</v>
      </c>
      <c r="AA51" s="3" t="s">
        <v>63</v>
      </c>
      <c r="AB51" s="18">
        <v>637835</v>
      </c>
    </row>
    <row r="52" spans="1:28" ht="12" customHeight="1" x14ac:dyDescent="0.2">
      <c r="A52" s="14" t="s">
        <v>65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1000</v>
      </c>
      <c r="K52" s="19">
        <v>6946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f t="shared" si="3"/>
        <v>7946</v>
      </c>
      <c r="V52" s="19">
        <f t="shared" ref="V52:V90" si="4">VLOOKUP(A52,$AA$12:$AB$92,2,FALSE)</f>
        <v>8230</v>
      </c>
      <c r="W52" s="20">
        <f t="shared" si="1"/>
        <v>-284</v>
      </c>
      <c r="X52" s="17">
        <f t="shared" si="2"/>
        <v>-3.450789793438639E-2</v>
      </c>
      <c r="AA52" s="3" t="s">
        <v>65</v>
      </c>
      <c r="AB52" s="18">
        <v>8230</v>
      </c>
    </row>
    <row r="53" spans="1:28" ht="12" customHeight="1" x14ac:dyDescent="0.2">
      <c r="A53" s="14" t="s">
        <v>66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53428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f t="shared" si="3"/>
        <v>53428</v>
      </c>
      <c r="V53" s="19">
        <f t="shared" si="4"/>
        <v>116964</v>
      </c>
      <c r="W53" s="20">
        <f t="shared" si="1"/>
        <v>-63536</v>
      </c>
      <c r="X53" s="17">
        <f t="shared" si="2"/>
        <v>-0.54320987654320985</v>
      </c>
      <c r="AA53" s="3" t="s">
        <v>66</v>
      </c>
      <c r="AB53" s="18">
        <v>116964</v>
      </c>
    </row>
    <row r="54" spans="1:28" ht="12" customHeight="1" x14ac:dyDescent="0.2">
      <c r="A54" s="14" t="s">
        <v>67</v>
      </c>
      <c r="B54" s="19">
        <v>12013</v>
      </c>
      <c r="C54" s="19">
        <v>12395</v>
      </c>
      <c r="D54" s="19">
        <v>4200</v>
      </c>
      <c r="E54" s="19">
        <v>10751</v>
      </c>
      <c r="F54" s="19">
        <v>5200</v>
      </c>
      <c r="G54" s="19">
        <v>4906</v>
      </c>
      <c r="H54" s="19">
        <v>12229</v>
      </c>
      <c r="I54" s="19">
        <v>9613</v>
      </c>
      <c r="J54" s="19">
        <v>12681</v>
      </c>
      <c r="K54" s="19">
        <v>28855</v>
      </c>
      <c r="L54" s="19">
        <v>0</v>
      </c>
      <c r="M54" s="19">
        <v>16960</v>
      </c>
      <c r="N54" s="19">
        <v>9861</v>
      </c>
      <c r="O54" s="19">
        <v>3650</v>
      </c>
      <c r="P54" s="19">
        <v>22219</v>
      </c>
      <c r="Q54" s="19">
        <v>21500</v>
      </c>
      <c r="R54" s="19">
        <v>25278</v>
      </c>
      <c r="S54" s="19">
        <v>10208</v>
      </c>
      <c r="T54" s="19">
        <v>14367</v>
      </c>
      <c r="U54" s="19">
        <f t="shared" si="3"/>
        <v>236886</v>
      </c>
      <c r="V54" s="19">
        <f t="shared" si="4"/>
        <v>251467</v>
      </c>
      <c r="W54" s="20">
        <f t="shared" si="1"/>
        <v>-14581</v>
      </c>
      <c r="X54" s="17">
        <f t="shared" si="2"/>
        <v>-5.7983751347095248E-2</v>
      </c>
      <c r="AA54" s="3" t="s">
        <v>67</v>
      </c>
      <c r="AB54" s="18">
        <v>251467</v>
      </c>
    </row>
    <row r="55" spans="1:28" ht="12" customHeight="1" x14ac:dyDescent="0.2">
      <c r="A55" s="14" t="s">
        <v>68</v>
      </c>
      <c r="B55" s="19">
        <v>43775</v>
      </c>
      <c r="C55" s="19">
        <v>0</v>
      </c>
      <c r="D55" s="19">
        <v>2500</v>
      </c>
      <c r="E55" s="19">
        <v>3711</v>
      </c>
      <c r="F55" s="19">
        <v>650</v>
      </c>
      <c r="G55" s="19">
        <v>20136</v>
      </c>
      <c r="H55" s="19">
        <v>4074</v>
      </c>
      <c r="I55" s="19">
        <v>45664</v>
      </c>
      <c r="J55" s="19">
        <v>76913</v>
      </c>
      <c r="K55" s="19">
        <v>11625</v>
      </c>
      <c r="L55" s="19">
        <v>980</v>
      </c>
      <c r="M55" s="19">
        <v>2491</v>
      </c>
      <c r="N55" s="19">
        <v>2393</v>
      </c>
      <c r="O55" s="19">
        <v>1073</v>
      </c>
      <c r="P55" s="19">
        <v>5544</v>
      </c>
      <c r="Q55" s="19">
        <v>19544</v>
      </c>
      <c r="R55" s="19">
        <v>9535</v>
      </c>
      <c r="S55" s="19">
        <v>3924</v>
      </c>
      <c r="T55" s="19">
        <v>4861</v>
      </c>
      <c r="U55" s="19">
        <f t="shared" si="3"/>
        <v>259393</v>
      </c>
      <c r="V55" s="19">
        <f t="shared" si="4"/>
        <v>219284</v>
      </c>
      <c r="W55" s="20">
        <f t="shared" si="1"/>
        <v>40109</v>
      </c>
      <c r="X55" s="17">
        <f t="shared" si="2"/>
        <v>0.18290892176355775</v>
      </c>
      <c r="AA55" s="3" t="s">
        <v>68</v>
      </c>
      <c r="AB55" s="18">
        <v>219284</v>
      </c>
    </row>
    <row r="56" spans="1:28" ht="12" customHeight="1" x14ac:dyDescent="0.2">
      <c r="A56" s="14" t="s">
        <v>69</v>
      </c>
      <c r="B56" s="19">
        <v>7282</v>
      </c>
      <c r="C56" s="19">
        <v>0</v>
      </c>
      <c r="D56" s="19">
        <v>4200</v>
      </c>
      <c r="E56" s="19">
        <v>5300</v>
      </c>
      <c r="F56" s="19">
        <v>2500</v>
      </c>
      <c r="G56" s="19">
        <v>71939</v>
      </c>
      <c r="H56" s="19">
        <v>11071</v>
      </c>
      <c r="I56" s="19">
        <v>2841</v>
      </c>
      <c r="J56" s="19">
        <v>19280</v>
      </c>
      <c r="K56" s="19">
        <v>2473</v>
      </c>
      <c r="L56" s="19">
        <v>0</v>
      </c>
      <c r="M56" s="19">
        <v>6827</v>
      </c>
      <c r="N56" s="19">
        <v>28494</v>
      </c>
      <c r="O56" s="19">
        <v>22194</v>
      </c>
      <c r="P56" s="19">
        <v>103678</v>
      </c>
      <c r="Q56" s="19">
        <v>80675</v>
      </c>
      <c r="R56" s="19">
        <v>2456</v>
      </c>
      <c r="S56" s="19">
        <v>5537</v>
      </c>
      <c r="T56" s="19">
        <v>26861</v>
      </c>
      <c r="U56" s="19">
        <f t="shared" si="3"/>
        <v>403608</v>
      </c>
      <c r="V56" s="19">
        <f t="shared" si="4"/>
        <v>403700</v>
      </c>
      <c r="W56" s="20">
        <f t="shared" si="1"/>
        <v>-92</v>
      </c>
      <c r="X56" s="17">
        <f t="shared" si="2"/>
        <v>-2.2789199900916522E-4</v>
      </c>
      <c r="AA56" s="3" t="s">
        <v>69</v>
      </c>
      <c r="AB56" s="18">
        <v>403700</v>
      </c>
    </row>
    <row r="57" spans="1:28" ht="12" customHeight="1" x14ac:dyDescent="0.2">
      <c r="A57" s="14" t="s">
        <v>70</v>
      </c>
      <c r="B57" s="19">
        <v>0</v>
      </c>
      <c r="C57" s="19">
        <v>0</v>
      </c>
      <c r="D57" s="19">
        <v>0</v>
      </c>
      <c r="E57" s="19">
        <v>600</v>
      </c>
      <c r="F57" s="19">
        <v>0</v>
      </c>
      <c r="G57" s="19">
        <v>0</v>
      </c>
      <c r="H57" s="19">
        <v>700</v>
      </c>
      <c r="I57" s="19">
        <v>0</v>
      </c>
      <c r="J57" s="19">
        <v>2878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31765</v>
      </c>
      <c r="R57" s="19">
        <v>0</v>
      </c>
      <c r="S57" s="19">
        <v>0</v>
      </c>
      <c r="T57" s="19">
        <v>0</v>
      </c>
      <c r="U57" s="19">
        <f t="shared" si="3"/>
        <v>35943</v>
      </c>
      <c r="V57" s="19">
        <f t="shared" si="4"/>
        <v>20969</v>
      </c>
      <c r="W57" s="20">
        <f t="shared" si="1"/>
        <v>14974</v>
      </c>
      <c r="X57" s="17">
        <f t="shared" si="2"/>
        <v>0.7141017692784587</v>
      </c>
      <c r="AA57" s="3" t="s">
        <v>70</v>
      </c>
      <c r="AB57" s="18">
        <v>20969</v>
      </c>
    </row>
    <row r="58" spans="1:28" ht="12" customHeight="1" x14ac:dyDescent="0.2">
      <c r="A58" s="14" t="s">
        <v>71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4714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f>5834399+259831</f>
        <v>6094230</v>
      </c>
      <c r="P58" s="19">
        <v>0</v>
      </c>
      <c r="Q58" s="19">
        <v>64800</v>
      </c>
      <c r="R58" s="19">
        <v>0</v>
      </c>
      <c r="S58" s="19">
        <v>0</v>
      </c>
      <c r="T58" s="19">
        <v>0</v>
      </c>
      <c r="U58" s="19">
        <f t="shared" si="3"/>
        <v>6163744</v>
      </c>
      <c r="V58" s="19">
        <f t="shared" si="4"/>
        <v>4043786</v>
      </c>
      <c r="W58" s="20">
        <f t="shared" si="1"/>
        <v>2119958</v>
      </c>
      <c r="X58" s="17">
        <f t="shared" si="2"/>
        <v>0.52425078874104614</v>
      </c>
      <c r="AA58" s="3" t="s">
        <v>71</v>
      </c>
      <c r="AB58" s="18">
        <v>4043786</v>
      </c>
    </row>
    <row r="59" spans="1:28" ht="12" customHeight="1" x14ac:dyDescent="0.2">
      <c r="A59" s="14" t="s">
        <v>72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11000</v>
      </c>
      <c r="U59" s="19">
        <f t="shared" si="3"/>
        <v>11000</v>
      </c>
      <c r="V59" s="19">
        <f t="shared" si="4"/>
        <v>10864</v>
      </c>
      <c r="W59" s="20">
        <f t="shared" si="1"/>
        <v>136</v>
      </c>
      <c r="X59" s="17">
        <f t="shared" si="2"/>
        <v>1.2518409425625921E-2</v>
      </c>
      <c r="AA59" s="3" t="s">
        <v>72</v>
      </c>
      <c r="AB59" s="18">
        <v>10864</v>
      </c>
    </row>
    <row r="60" spans="1:28" ht="12" customHeight="1" x14ac:dyDescent="0.2">
      <c r="A60" s="14" t="s">
        <v>73</v>
      </c>
      <c r="B60" s="19">
        <v>626</v>
      </c>
      <c r="C60" s="19">
        <v>2439</v>
      </c>
      <c r="D60" s="19">
        <v>600</v>
      </c>
      <c r="E60" s="19">
        <v>7800</v>
      </c>
      <c r="F60" s="19">
        <v>2200</v>
      </c>
      <c r="G60" s="19">
        <v>3925</v>
      </c>
      <c r="H60" s="19">
        <v>2544</v>
      </c>
      <c r="I60" s="19">
        <v>36040</v>
      </c>
      <c r="J60" s="19">
        <v>3803</v>
      </c>
      <c r="K60" s="19">
        <v>6650</v>
      </c>
      <c r="L60" s="19">
        <f>61433+3567</f>
        <v>65000</v>
      </c>
      <c r="M60" s="19">
        <v>2120</v>
      </c>
      <c r="N60" s="19">
        <v>90090</v>
      </c>
      <c r="O60" s="19">
        <v>106670</v>
      </c>
      <c r="P60" s="19">
        <v>178349</v>
      </c>
      <c r="Q60" s="19">
        <v>21100</v>
      </c>
      <c r="R60" s="19">
        <v>827</v>
      </c>
      <c r="S60" s="19">
        <v>1574</v>
      </c>
      <c r="T60" s="19">
        <v>9177</v>
      </c>
      <c r="U60" s="19">
        <f t="shared" si="3"/>
        <v>541534</v>
      </c>
      <c r="V60" s="19">
        <f>VLOOKUP(A60,$AA$12:$AB$92,2,FALSE)+1810</f>
        <v>486404</v>
      </c>
      <c r="W60" s="20">
        <f t="shared" si="1"/>
        <v>55130</v>
      </c>
      <c r="X60" s="17">
        <f t="shared" si="2"/>
        <v>0.11334199554279981</v>
      </c>
      <c r="AA60" s="3" t="s">
        <v>73</v>
      </c>
      <c r="AB60" s="18">
        <v>484594</v>
      </c>
    </row>
    <row r="61" spans="1:28" ht="12" customHeight="1" x14ac:dyDescent="0.2">
      <c r="A61" s="14" t="s">
        <v>74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2392</v>
      </c>
      <c r="L61" s="19">
        <v>0</v>
      </c>
      <c r="M61" s="19">
        <v>0</v>
      </c>
      <c r="N61" s="19">
        <v>0</v>
      </c>
      <c r="O61" s="19">
        <v>0</v>
      </c>
      <c r="P61" s="19">
        <v>89958</v>
      </c>
      <c r="Q61" s="19">
        <v>2360844</v>
      </c>
      <c r="R61" s="19">
        <v>0</v>
      </c>
      <c r="S61" s="19">
        <v>0</v>
      </c>
      <c r="T61" s="19">
        <v>57313</v>
      </c>
      <c r="U61" s="19">
        <f t="shared" si="3"/>
        <v>2510507</v>
      </c>
      <c r="V61" s="19">
        <f t="shared" si="4"/>
        <v>2421455</v>
      </c>
      <c r="W61" s="20">
        <f t="shared" si="1"/>
        <v>89052</v>
      </c>
      <c r="X61" s="17">
        <f t="shared" si="2"/>
        <v>3.6776235775597729E-2</v>
      </c>
      <c r="AA61" s="3" t="s">
        <v>74</v>
      </c>
      <c r="AB61" s="18">
        <v>2421455</v>
      </c>
    </row>
    <row r="62" spans="1:28" ht="12" customHeight="1" x14ac:dyDescent="0.2">
      <c r="A62" s="14" t="s">
        <v>75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1086466</v>
      </c>
      <c r="R62" s="19">
        <v>0</v>
      </c>
      <c r="S62" s="19">
        <v>0</v>
      </c>
      <c r="T62" s="19">
        <v>0</v>
      </c>
      <c r="U62" s="19">
        <f t="shared" si="3"/>
        <v>1086466</v>
      </c>
      <c r="V62" s="19">
        <f t="shared" si="4"/>
        <v>1010198</v>
      </c>
      <c r="W62" s="20">
        <f t="shared" si="1"/>
        <v>76268</v>
      </c>
      <c r="X62" s="17">
        <f t="shared" si="2"/>
        <v>7.5498070675253756E-2</v>
      </c>
      <c r="AA62" s="3" t="s">
        <v>75</v>
      </c>
      <c r="AB62" s="18">
        <v>1010198</v>
      </c>
    </row>
    <row r="63" spans="1:28" ht="12" customHeight="1" x14ac:dyDescent="0.2">
      <c r="A63" s="14" t="s">
        <v>76</v>
      </c>
      <c r="B63" s="19">
        <v>201</v>
      </c>
      <c r="C63" s="19">
        <v>1050</v>
      </c>
      <c r="D63" s="19">
        <v>330</v>
      </c>
      <c r="E63" s="19">
        <v>481</v>
      </c>
      <c r="F63" s="19">
        <v>170</v>
      </c>
      <c r="G63" s="19">
        <v>583</v>
      </c>
      <c r="H63" s="19">
        <v>154</v>
      </c>
      <c r="I63" s="19">
        <v>424</v>
      </c>
      <c r="J63" s="19">
        <v>126</v>
      </c>
      <c r="K63" s="19">
        <v>297</v>
      </c>
      <c r="L63" s="19">
        <v>0</v>
      </c>
      <c r="M63" s="19">
        <v>81</v>
      </c>
      <c r="N63" s="19">
        <v>580</v>
      </c>
      <c r="O63" s="19">
        <v>508</v>
      </c>
      <c r="P63" s="19">
        <v>0</v>
      </c>
      <c r="Q63" s="19">
        <v>300</v>
      </c>
      <c r="R63" s="19">
        <v>166</v>
      </c>
      <c r="S63" s="19">
        <v>404</v>
      </c>
      <c r="T63" s="19">
        <v>266</v>
      </c>
      <c r="U63" s="19">
        <f t="shared" si="3"/>
        <v>6121</v>
      </c>
      <c r="V63" s="19">
        <f t="shared" si="4"/>
        <v>7804</v>
      </c>
      <c r="W63" s="20">
        <f t="shared" si="1"/>
        <v>-1683</v>
      </c>
      <c r="X63" s="17">
        <f t="shared" si="2"/>
        <v>-0.21565863659661713</v>
      </c>
      <c r="AA63" s="3" t="s">
        <v>76</v>
      </c>
      <c r="AB63" s="18">
        <v>7804</v>
      </c>
    </row>
    <row r="64" spans="1:28" ht="12" customHeight="1" x14ac:dyDescent="0.2">
      <c r="A64" s="14" t="s">
        <v>77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1939500</v>
      </c>
      <c r="Q64" s="19">
        <v>0</v>
      </c>
      <c r="R64" s="19">
        <v>0</v>
      </c>
      <c r="S64" s="19">
        <v>0</v>
      </c>
      <c r="T64" s="19">
        <v>0</v>
      </c>
      <c r="U64" s="19">
        <f t="shared" si="3"/>
        <v>1939500</v>
      </c>
      <c r="V64" s="19">
        <f t="shared" si="4"/>
        <v>1808500</v>
      </c>
      <c r="W64" s="20">
        <f t="shared" si="1"/>
        <v>131000</v>
      </c>
      <c r="X64" s="17">
        <f t="shared" si="2"/>
        <v>7.243572021011889E-2</v>
      </c>
      <c r="AA64" s="3" t="s">
        <v>77</v>
      </c>
      <c r="AB64" s="18">
        <v>1808500</v>
      </c>
    </row>
    <row r="65" spans="1:28" ht="12" customHeight="1" x14ac:dyDescent="0.2">
      <c r="A65" s="14" t="s">
        <v>78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1175507</v>
      </c>
      <c r="R65" s="19">
        <v>0</v>
      </c>
      <c r="S65" s="19">
        <v>0</v>
      </c>
      <c r="T65" s="19">
        <v>0</v>
      </c>
      <c r="U65" s="19">
        <f t="shared" si="3"/>
        <v>1175507</v>
      </c>
      <c r="V65" s="19">
        <f t="shared" si="4"/>
        <v>1274902</v>
      </c>
      <c r="W65" s="20">
        <f t="shared" si="1"/>
        <v>-99395</v>
      </c>
      <c r="X65" s="17">
        <f t="shared" si="2"/>
        <v>-7.7962855184163168E-2</v>
      </c>
      <c r="AA65" s="3" t="s">
        <v>78</v>
      </c>
      <c r="AB65" s="18">
        <v>1274902</v>
      </c>
    </row>
    <row r="66" spans="1:28" ht="12" customHeight="1" x14ac:dyDescent="0.2">
      <c r="A66" s="14" t="s">
        <v>79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593000</v>
      </c>
      <c r="R66" s="19">
        <v>0</v>
      </c>
      <c r="S66" s="19">
        <v>0</v>
      </c>
      <c r="T66" s="19">
        <v>0</v>
      </c>
      <c r="U66" s="19">
        <f t="shared" si="3"/>
        <v>593000</v>
      </c>
      <c r="V66" s="19">
        <f t="shared" si="4"/>
        <v>592864</v>
      </c>
      <c r="W66" s="20">
        <f t="shared" si="1"/>
        <v>136</v>
      </c>
      <c r="X66" s="17">
        <f t="shared" si="2"/>
        <v>2.2939493711879959E-4</v>
      </c>
      <c r="AA66" s="3" t="s">
        <v>79</v>
      </c>
      <c r="AB66" s="18">
        <v>592864</v>
      </c>
    </row>
    <row r="67" spans="1:28" ht="12" customHeight="1" x14ac:dyDescent="0.2">
      <c r="A67" s="14" t="s">
        <v>80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70600</v>
      </c>
      <c r="R67" s="19">
        <v>0</v>
      </c>
      <c r="S67" s="19">
        <v>0</v>
      </c>
      <c r="T67" s="19">
        <v>0</v>
      </c>
      <c r="U67" s="19">
        <f t="shared" si="3"/>
        <v>70600</v>
      </c>
      <c r="V67" s="19">
        <f t="shared" si="4"/>
        <v>70560</v>
      </c>
      <c r="W67" s="20">
        <f t="shared" si="1"/>
        <v>40</v>
      </c>
      <c r="X67" s="17">
        <f t="shared" si="2"/>
        <v>5.6689342403628119E-4</v>
      </c>
      <c r="AA67" s="3" t="s">
        <v>80</v>
      </c>
      <c r="AB67" s="18">
        <v>70560</v>
      </c>
    </row>
    <row r="68" spans="1:28" ht="12" customHeight="1" x14ac:dyDescent="0.2">
      <c r="A68" s="14" t="s">
        <v>81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2100000</v>
      </c>
      <c r="R68" s="19">
        <v>0</v>
      </c>
      <c r="S68" s="19">
        <v>0</v>
      </c>
      <c r="T68" s="19">
        <v>0</v>
      </c>
      <c r="U68" s="19">
        <f t="shared" si="3"/>
        <v>2100000</v>
      </c>
      <c r="V68" s="19">
        <f t="shared" si="4"/>
        <v>2092577</v>
      </c>
      <c r="W68" s="20">
        <f t="shared" si="1"/>
        <v>7423</v>
      </c>
      <c r="X68" s="17">
        <f t="shared" si="2"/>
        <v>3.5473007683827166E-3</v>
      </c>
      <c r="AA68" s="3" t="s">
        <v>81</v>
      </c>
      <c r="AB68" s="18">
        <v>2092577</v>
      </c>
    </row>
    <row r="69" spans="1:28" ht="12" customHeight="1" x14ac:dyDescent="0.2">
      <c r="A69" s="14" t="s">
        <v>82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1378</v>
      </c>
      <c r="I69" s="19">
        <v>0</v>
      </c>
      <c r="J69" s="19">
        <v>2000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f t="shared" si="3"/>
        <v>3378</v>
      </c>
      <c r="V69" s="19">
        <f t="shared" si="4"/>
        <v>2682</v>
      </c>
      <c r="W69" s="20">
        <f t="shared" si="1"/>
        <v>696</v>
      </c>
      <c r="X69" s="17">
        <f t="shared" si="2"/>
        <v>0.25950782997762861</v>
      </c>
      <c r="AA69" s="3" t="s">
        <v>82</v>
      </c>
      <c r="AB69" s="18">
        <v>2682</v>
      </c>
    </row>
    <row r="70" spans="1:28" ht="12" customHeight="1" x14ac:dyDescent="0.2">
      <c r="A70" s="14" t="s">
        <v>83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f>8921481+649618</f>
        <v>9571099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f t="shared" si="3"/>
        <v>9571099</v>
      </c>
      <c r="V70" s="19">
        <f t="shared" si="4"/>
        <v>10000000</v>
      </c>
      <c r="W70" s="20">
        <f t="shared" si="1"/>
        <v>-428901</v>
      </c>
      <c r="X70" s="17">
        <f t="shared" si="2"/>
        <v>-4.28901E-2</v>
      </c>
      <c r="AA70" s="3" t="s">
        <v>83</v>
      </c>
      <c r="AB70" s="18">
        <v>10000000</v>
      </c>
    </row>
    <row r="71" spans="1:28" ht="12" customHeight="1" x14ac:dyDescent="0.2">
      <c r="A71" s="14" t="s">
        <v>84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216634</v>
      </c>
      <c r="R71" s="19">
        <v>0</v>
      </c>
      <c r="S71" s="19">
        <v>0</v>
      </c>
      <c r="T71" s="19">
        <v>124815</v>
      </c>
      <c r="U71" s="19">
        <f t="shared" si="3"/>
        <v>341449</v>
      </c>
      <c r="V71" s="19">
        <f t="shared" si="4"/>
        <v>102873</v>
      </c>
      <c r="W71" s="20">
        <f t="shared" si="1"/>
        <v>238576</v>
      </c>
      <c r="X71" s="17">
        <f t="shared" si="2"/>
        <v>2.319131356138151</v>
      </c>
      <c r="AA71" s="3" t="s">
        <v>84</v>
      </c>
      <c r="AB71" s="18">
        <v>102873</v>
      </c>
    </row>
    <row r="72" spans="1:28" ht="12" customHeight="1" x14ac:dyDescent="0.2">
      <c r="A72" s="14" t="s">
        <v>85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701500</v>
      </c>
      <c r="R72" s="19">
        <v>0</v>
      </c>
      <c r="S72" s="19">
        <v>0</v>
      </c>
      <c r="T72" s="19">
        <v>0</v>
      </c>
      <c r="U72" s="19">
        <f t="shared" si="3"/>
        <v>701500</v>
      </c>
      <c r="V72" s="19">
        <f t="shared" si="4"/>
        <v>214700</v>
      </c>
      <c r="W72" s="20">
        <f t="shared" si="1"/>
        <v>486800</v>
      </c>
      <c r="X72" s="17">
        <f t="shared" si="2"/>
        <v>2.2673497904052167</v>
      </c>
      <c r="AA72" s="3" t="s">
        <v>85</v>
      </c>
      <c r="AB72" s="18">
        <v>214700</v>
      </c>
    </row>
    <row r="73" spans="1:28" ht="12" customHeight="1" x14ac:dyDescent="0.2">
      <c r="A73" s="14" t="s">
        <v>86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1974500</v>
      </c>
      <c r="R73" s="19">
        <v>0</v>
      </c>
      <c r="S73" s="19">
        <v>0</v>
      </c>
      <c r="T73" s="19">
        <v>0</v>
      </c>
      <c r="U73" s="19">
        <f t="shared" si="3"/>
        <v>1974500</v>
      </c>
      <c r="V73" s="19">
        <f t="shared" si="4"/>
        <v>1866300</v>
      </c>
      <c r="W73" s="20">
        <f t="shared" si="1"/>
        <v>108200</v>
      </c>
      <c r="X73" s="17">
        <f t="shared" si="2"/>
        <v>5.7975673793066493E-2</v>
      </c>
      <c r="AA73" s="3" t="s">
        <v>86</v>
      </c>
      <c r="AB73" s="18">
        <v>1866300</v>
      </c>
    </row>
    <row r="74" spans="1:28" ht="12" customHeight="1" x14ac:dyDescent="0.2">
      <c r="A74" s="14" t="s">
        <v>87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16315500+125000</f>
        <v>16440500</v>
      </c>
      <c r="Q74" s="19">
        <v>0</v>
      </c>
      <c r="R74" s="19">
        <v>0</v>
      </c>
      <c r="S74" s="19">
        <v>0</v>
      </c>
      <c r="T74" s="19">
        <v>175000</v>
      </c>
      <c r="U74" s="19">
        <f t="shared" si="3"/>
        <v>16615500</v>
      </c>
      <c r="V74" s="19">
        <f>VLOOKUP(A74,$AA$12:$AB$92,2,FALSE)+125000</f>
        <v>9314600</v>
      </c>
      <c r="W74" s="20">
        <f t="shared" si="1"/>
        <v>7300900</v>
      </c>
      <c r="X74" s="17">
        <f t="shared" si="2"/>
        <v>0.78381250939385483</v>
      </c>
      <c r="AA74" s="3" t="s">
        <v>87</v>
      </c>
      <c r="AB74" s="18">
        <v>9189600</v>
      </c>
    </row>
    <row r="75" spans="1:28" ht="12" customHeight="1" x14ac:dyDescent="0.2">
      <c r="A75" s="14" t="s">
        <v>88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5000</v>
      </c>
      <c r="N75" s="19">
        <v>0</v>
      </c>
      <c r="O75" s="19">
        <v>0</v>
      </c>
      <c r="P75" s="19">
        <f>25041028+3165363</f>
        <v>28206391</v>
      </c>
      <c r="Q75" s="19">
        <v>0</v>
      </c>
      <c r="R75" s="19">
        <v>0</v>
      </c>
      <c r="S75" s="19">
        <v>0</v>
      </c>
      <c r="T75" s="19">
        <v>0</v>
      </c>
      <c r="U75" s="19">
        <f t="shared" si="3"/>
        <v>28211391</v>
      </c>
      <c r="V75" s="19">
        <f>VLOOKUP(A75,$AA$12:$AB$92,2,FALSE)+2300000</f>
        <v>19698561</v>
      </c>
      <c r="W75" s="20">
        <f t="shared" si="1"/>
        <v>8512830</v>
      </c>
      <c r="X75" s="17">
        <f t="shared" si="2"/>
        <v>0.43215491730588851</v>
      </c>
      <c r="AA75" s="3" t="s">
        <v>88</v>
      </c>
      <c r="AB75" s="18">
        <v>17398561</v>
      </c>
    </row>
    <row r="76" spans="1:28" ht="12" customHeight="1" x14ac:dyDescent="0.2">
      <c r="A76" s="14" t="s">
        <v>89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1696</v>
      </c>
      <c r="L76" s="19">
        <v>0</v>
      </c>
      <c r="M76" s="19">
        <v>0</v>
      </c>
      <c r="N76" s="19">
        <v>4785</v>
      </c>
      <c r="O76" s="19">
        <v>11068</v>
      </c>
      <c r="P76" s="19">
        <v>0</v>
      </c>
      <c r="Q76" s="19">
        <v>182700</v>
      </c>
      <c r="R76" s="19">
        <v>0</v>
      </c>
      <c r="S76" s="19">
        <v>0</v>
      </c>
      <c r="T76" s="19">
        <v>72138</v>
      </c>
      <c r="U76" s="19">
        <f t="shared" si="3"/>
        <v>272387</v>
      </c>
      <c r="V76" s="19">
        <f t="shared" si="4"/>
        <v>240269</v>
      </c>
      <c r="W76" s="20">
        <f t="shared" si="1"/>
        <v>32118</v>
      </c>
      <c r="X76" s="17">
        <f t="shared" si="2"/>
        <v>0.13367517241092275</v>
      </c>
      <c r="AA76" s="3" t="s">
        <v>89</v>
      </c>
      <c r="AB76" s="18">
        <v>240269</v>
      </c>
    </row>
    <row r="77" spans="1:28" ht="12" customHeight="1" x14ac:dyDescent="0.2">
      <c r="A77" s="14" t="s">
        <v>90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8307000</v>
      </c>
      <c r="R77" s="19">
        <v>0</v>
      </c>
      <c r="S77" s="19">
        <v>0</v>
      </c>
      <c r="T77" s="19">
        <v>0</v>
      </c>
      <c r="U77" s="19">
        <f t="shared" si="3"/>
        <v>8307000</v>
      </c>
      <c r="V77" s="19">
        <f t="shared" si="4"/>
        <v>7632000</v>
      </c>
      <c r="W77" s="20">
        <f t="shared" ref="W77:W90" si="5">U77-V77</f>
        <v>675000</v>
      </c>
      <c r="X77" s="17">
        <f t="shared" ref="X77:X90" si="6">IF(V77=0,100%,W77/V77)</f>
        <v>8.8443396226415089E-2</v>
      </c>
      <c r="AA77" s="3" t="s">
        <v>90</v>
      </c>
      <c r="AB77" s="18">
        <v>7632000</v>
      </c>
    </row>
    <row r="78" spans="1:28" ht="12" customHeight="1" x14ac:dyDescent="0.2">
      <c r="A78" s="14" t="s">
        <v>91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5790000</v>
      </c>
      <c r="Q78" s="19">
        <v>28390000</v>
      </c>
      <c r="R78" s="19">
        <v>0</v>
      </c>
      <c r="S78" s="19">
        <v>0</v>
      </c>
      <c r="T78" s="19">
        <v>1850000</v>
      </c>
      <c r="U78" s="19">
        <f t="shared" ref="U78:U91" si="7">SUM(B78:T78)</f>
        <v>36030000</v>
      </c>
      <c r="V78" s="19">
        <f t="shared" si="4"/>
        <v>31465000</v>
      </c>
      <c r="W78" s="20">
        <f t="shared" si="5"/>
        <v>4565000</v>
      </c>
      <c r="X78" s="17">
        <f t="shared" si="6"/>
        <v>0.14508183696170349</v>
      </c>
      <c r="AA78" s="3" t="s">
        <v>91</v>
      </c>
      <c r="AB78" s="18">
        <v>31465000</v>
      </c>
    </row>
    <row r="79" spans="1:28" ht="12" customHeight="1" x14ac:dyDescent="0.2">
      <c r="A79" s="14" t="s">
        <v>92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2980000</v>
      </c>
      <c r="Q79" s="19">
        <v>0</v>
      </c>
      <c r="R79" s="19">
        <v>0</v>
      </c>
      <c r="S79" s="19">
        <v>0</v>
      </c>
      <c r="T79" s="19">
        <v>1500000</v>
      </c>
      <c r="U79" s="19">
        <f t="shared" si="7"/>
        <v>4480000</v>
      </c>
      <c r="V79" s="19">
        <f t="shared" si="4"/>
        <v>710000</v>
      </c>
      <c r="W79" s="20">
        <f t="shared" si="5"/>
        <v>3770000</v>
      </c>
      <c r="X79" s="17">
        <f t="shared" si="6"/>
        <v>5.3098591549295771</v>
      </c>
      <c r="AA79" s="3" t="s">
        <v>92</v>
      </c>
      <c r="AB79" s="18">
        <v>710000</v>
      </c>
    </row>
    <row r="80" spans="1:28" ht="12" customHeight="1" x14ac:dyDescent="0.2">
      <c r="A80" s="14" t="s">
        <v>93</v>
      </c>
      <c r="B80" s="19">
        <v>0</v>
      </c>
      <c r="C80" s="19">
        <v>0</v>
      </c>
      <c r="D80" s="19">
        <v>70000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f>768686+50170</f>
        <v>818856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f t="shared" si="7"/>
        <v>888856</v>
      </c>
      <c r="V80" s="19">
        <f t="shared" si="4"/>
        <v>857301</v>
      </c>
      <c r="W80" s="20">
        <f t="shared" si="5"/>
        <v>31555</v>
      </c>
      <c r="X80" s="17">
        <f t="shared" si="6"/>
        <v>3.6807375705848938E-2</v>
      </c>
      <c r="AA80" s="3" t="s">
        <v>93</v>
      </c>
      <c r="AB80" s="18">
        <v>857301</v>
      </c>
    </row>
    <row r="81" spans="1:28" ht="12" customHeight="1" x14ac:dyDescent="0.2">
      <c r="A81" s="14" t="s">
        <v>94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f>14696169+854172</f>
        <v>15550341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f t="shared" si="7"/>
        <v>15550341</v>
      </c>
      <c r="V81" s="19">
        <f t="shared" si="4"/>
        <v>13321925</v>
      </c>
      <c r="W81" s="20">
        <f t="shared" si="5"/>
        <v>2228416</v>
      </c>
      <c r="X81" s="17">
        <f t="shared" si="6"/>
        <v>0.16727432409355256</v>
      </c>
      <c r="AA81" s="3" t="s">
        <v>94</v>
      </c>
      <c r="AB81" s="18">
        <v>13321925</v>
      </c>
    </row>
    <row r="82" spans="1:28" ht="12" customHeight="1" x14ac:dyDescent="0.2">
      <c r="A82" s="14" t="s">
        <v>95</v>
      </c>
      <c r="B82" s="19">
        <v>0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970000</v>
      </c>
      <c r="T82" s="19">
        <v>0</v>
      </c>
      <c r="U82" s="19">
        <f t="shared" si="7"/>
        <v>970000</v>
      </c>
      <c r="V82" s="19">
        <f t="shared" si="4"/>
        <v>551000</v>
      </c>
      <c r="W82" s="20">
        <f t="shared" si="5"/>
        <v>419000</v>
      </c>
      <c r="X82" s="17">
        <f t="shared" si="6"/>
        <v>0.76043557168784026</v>
      </c>
      <c r="AA82" s="3" t="s">
        <v>96</v>
      </c>
      <c r="AB82" s="18">
        <v>0</v>
      </c>
    </row>
    <row r="83" spans="1:28" ht="12" customHeight="1" x14ac:dyDescent="0.2">
      <c r="A83" s="14" t="s">
        <v>97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2000000</v>
      </c>
      <c r="T83" s="19">
        <v>0</v>
      </c>
      <c r="U83" s="19">
        <f t="shared" si="7"/>
        <v>2000000</v>
      </c>
      <c r="V83" s="19">
        <f t="shared" si="4"/>
        <v>1101000</v>
      </c>
      <c r="W83" s="20">
        <f t="shared" si="5"/>
        <v>899000</v>
      </c>
      <c r="X83" s="17">
        <f t="shared" si="6"/>
        <v>0.81653042688465027</v>
      </c>
      <c r="AA83" s="3" t="s">
        <v>95</v>
      </c>
      <c r="AB83" s="18">
        <v>551000</v>
      </c>
    </row>
    <row r="84" spans="1:28" ht="12" customHeight="1" x14ac:dyDescent="0.2">
      <c r="A84" s="14" t="s">
        <v>98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3578000</v>
      </c>
      <c r="T84" s="19">
        <v>0</v>
      </c>
      <c r="U84" s="19">
        <f t="shared" si="7"/>
        <v>3578000</v>
      </c>
      <c r="V84" s="19">
        <f>VLOOKUP(A84,$AA$12:$AB$92,2,FALSE)</f>
        <v>3731000</v>
      </c>
      <c r="W84" s="20">
        <f t="shared" si="5"/>
        <v>-153000</v>
      </c>
      <c r="X84" s="17">
        <f t="shared" si="6"/>
        <v>-4.1007772715089791E-2</v>
      </c>
      <c r="AA84" s="3" t="s">
        <v>97</v>
      </c>
      <c r="AB84" s="18">
        <v>1101000</v>
      </c>
    </row>
    <row r="85" spans="1:28" ht="12" customHeight="1" x14ac:dyDescent="0.2">
      <c r="A85" s="14" t="s">
        <v>99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1600000</v>
      </c>
      <c r="T85" s="19">
        <v>0</v>
      </c>
      <c r="U85" s="19">
        <f t="shared" si="7"/>
        <v>1600000</v>
      </c>
      <c r="V85" s="19">
        <f t="shared" si="4"/>
        <v>130000</v>
      </c>
      <c r="W85" s="20">
        <f t="shared" si="5"/>
        <v>1470000</v>
      </c>
      <c r="X85" s="17">
        <f t="shared" si="6"/>
        <v>11.307692307692308</v>
      </c>
      <c r="AA85" s="3" t="s">
        <v>98</v>
      </c>
      <c r="AB85" s="18">
        <v>3731000</v>
      </c>
    </row>
    <row r="86" spans="1:28" ht="12" customHeight="1" x14ac:dyDescent="0.2">
      <c r="A86" s="14" t="s">
        <v>100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4883000</v>
      </c>
      <c r="T86" s="19">
        <v>0</v>
      </c>
      <c r="U86" s="19">
        <f t="shared" si="7"/>
        <v>4883000</v>
      </c>
      <c r="V86" s="19">
        <f t="shared" si="4"/>
        <v>6743500</v>
      </c>
      <c r="W86" s="20">
        <f t="shared" si="5"/>
        <v>-1860500</v>
      </c>
      <c r="X86" s="17">
        <f t="shared" si="6"/>
        <v>-0.27589530659153261</v>
      </c>
      <c r="AA86" s="3" t="s">
        <v>99</v>
      </c>
      <c r="AB86" s="18">
        <v>130000</v>
      </c>
    </row>
    <row r="87" spans="1:28" ht="12" customHeight="1" x14ac:dyDescent="0.2">
      <c r="A87" s="14" t="s">
        <v>101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89110000</v>
      </c>
      <c r="T87" s="19">
        <v>0</v>
      </c>
      <c r="U87" s="19">
        <f t="shared" si="7"/>
        <v>89110000</v>
      </c>
      <c r="V87" s="19">
        <f t="shared" si="4"/>
        <v>92225800</v>
      </c>
      <c r="W87" s="20">
        <f t="shared" si="5"/>
        <v>-3115800</v>
      </c>
      <c r="X87" s="17">
        <f t="shared" si="6"/>
        <v>-3.378447245781549E-2</v>
      </c>
      <c r="AA87" s="3" t="s">
        <v>100</v>
      </c>
      <c r="AB87" s="18">
        <v>6743500</v>
      </c>
    </row>
    <row r="88" spans="1:28" ht="12" customHeight="1" x14ac:dyDescent="0.2">
      <c r="A88" s="14" t="s">
        <v>102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f t="shared" si="7"/>
        <v>0</v>
      </c>
      <c r="V88" s="19">
        <f t="shared" si="4"/>
        <v>3000000</v>
      </c>
      <c r="W88" s="20">
        <f t="shared" si="5"/>
        <v>-3000000</v>
      </c>
      <c r="X88" s="17">
        <f t="shared" si="6"/>
        <v>-1</v>
      </c>
      <c r="AB88" s="18"/>
    </row>
    <row r="89" spans="1:28" ht="12" customHeight="1" x14ac:dyDescent="0.2">
      <c r="A89" s="14" t="s">
        <v>103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3155000</v>
      </c>
      <c r="T89" s="19">
        <v>0</v>
      </c>
      <c r="U89" s="19">
        <f t="shared" si="7"/>
        <v>3155000</v>
      </c>
      <c r="V89" s="19">
        <f t="shared" si="4"/>
        <v>2800000</v>
      </c>
      <c r="W89" s="20">
        <f t="shared" si="5"/>
        <v>355000</v>
      </c>
      <c r="X89" s="17">
        <f t="shared" si="6"/>
        <v>0.12678571428571428</v>
      </c>
      <c r="AA89" s="3" t="s">
        <v>101</v>
      </c>
      <c r="AB89" s="18">
        <v>92225800</v>
      </c>
    </row>
    <row r="90" spans="1:28" ht="12" customHeight="1" thickBot="1" x14ac:dyDescent="0.25">
      <c r="A90" s="14" t="s">
        <v>104</v>
      </c>
      <c r="B90" s="19">
        <v>0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5370000</v>
      </c>
      <c r="T90" s="19">
        <v>0</v>
      </c>
      <c r="U90" s="19">
        <f t="shared" si="7"/>
        <v>5370000</v>
      </c>
      <c r="V90" s="19">
        <f t="shared" si="4"/>
        <v>12710000</v>
      </c>
      <c r="W90" s="20">
        <f t="shared" si="5"/>
        <v>-7340000</v>
      </c>
      <c r="X90" s="17">
        <f t="shared" si="6"/>
        <v>-0.57749803304484659</v>
      </c>
      <c r="AA90" s="3" t="s">
        <v>102</v>
      </c>
      <c r="AB90" s="18">
        <v>3000000</v>
      </c>
    </row>
    <row r="91" spans="1:28" ht="12" hidden="1" customHeight="1" thickBot="1" x14ac:dyDescent="0.25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>
        <f t="shared" si="7"/>
        <v>0</v>
      </c>
      <c r="V91" s="23"/>
      <c r="W91" s="23"/>
      <c r="X91" s="17"/>
      <c r="AA91" s="3" t="s">
        <v>103</v>
      </c>
      <c r="AB91" s="18">
        <v>2800000</v>
      </c>
    </row>
    <row r="92" spans="1:28" ht="12" customHeight="1" thickBot="1" x14ac:dyDescent="0.25">
      <c r="A92" s="24" t="s">
        <v>105</v>
      </c>
      <c r="B92" s="25">
        <f t="shared" ref="B92:T92" si="8">SUM(B12:B90)</f>
        <v>562796</v>
      </c>
      <c r="C92" s="25">
        <f t="shared" si="8"/>
        <v>137715</v>
      </c>
      <c r="D92" s="25">
        <f t="shared" si="8"/>
        <v>5236584</v>
      </c>
      <c r="E92" s="25">
        <f t="shared" si="8"/>
        <v>1559988</v>
      </c>
      <c r="F92" s="25">
        <f t="shared" si="8"/>
        <v>2527176</v>
      </c>
      <c r="G92" s="25">
        <f t="shared" si="8"/>
        <v>1421978</v>
      </c>
      <c r="H92" s="25">
        <f t="shared" si="8"/>
        <v>1042774</v>
      </c>
      <c r="I92" s="25">
        <f t="shared" si="8"/>
        <v>5484977</v>
      </c>
      <c r="J92" s="25">
        <f t="shared" si="8"/>
        <v>1383270</v>
      </c>
      <c r="K92" s="25">
        <f t="shared" si="8"/>
        <v>4067235</v>
      </c>
      <c r="L92" s="25">
        <f t="shared" si="8"/>
        <v>12329432</v>
      </c>
      <c r="M92" s="25">
        <f t="shared" si="8"/>
        <v>722418</v>
      </c>
      <c r="N92" s="25">
        <f t="shared" si="8"/>
        <v>13401713</v>
      </c>
      <c r="O92" s="25">
        <f t="shared" si="8"/>
        <v>50075267</v>
      </c>
      <c r="P92" s="25">
        <f t="shared" si="8"/>
        <v>85188146</v>
      </c>
      <c r="Q92" s="25">
        <f t="shared" si="8"/>
        <v>84538213</v>
      </c>
      <c r="R92" s="25">
        <f t="shared" si="8"/>
        <v>1604771</v>
      </c>
      <c r="S92" s="25">
        <f t="shared" si="8"/>
        <v>112077373</v>
      </c>
      <c r="T92" s="25">
        <f t="shared" si="8"/>
        <v>16209201</v>
      </c>
      <c r="U92" s="25">
        <f>SUM(U12:U90)-1</f>
        <v>399571026</v>
      </c>
      <c r="V92" s="25">
        <f>SUM(V12:V91)+3</f>
        <v>362194436</v>
      </c>
      <c r="W92" s="25">
        <f>U92-V92</f>
        <v>37376590</v>
      </c>
      <c r="X92" s="26">
        <f>IF(V92=0,100%,W92/V92)</f>
        <v>0.10319482102701323</v>
      </c>
      <c r="AA92" s="3" t="s">
        <v>104</v>
      </c>
      <c r="AB92" s="18">
        <v>12710000</v>
      </c>
    </row>
    <row r="93" spans="1:28" ht="4.5" customHeight="1" thickTop="1" x14ac:dyDescent="0.2">
      <c r="A93" s="2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AB93" s="18">
        <f>SUM(AB12:AB92)</f>
        <v>357549039</v>
      </c>
    </row>
    <row r="94" spans="1:28" s="29" customFormat="1" hidden="1" x14ac:dyDescent="0.2">
      <c r="A94" s="29" t="s">
        <v>0</v>
      </c>
      <c r="B94" s="29" t="s">
        <v>1</v>
      </c>
      <c r="C94" s="29" t="s">
        <v>2</v>
      </c>
      <c r="D94" s="29" t="s">
        <v>3</v>
      </c>
      <c r="E94" s="29" t="s">
        <v>4</v>
      </c>
      <c r="F94" s="29" t="s">
        <v>5</v>
      </c>
      <c r="G94" s="29" t="s">
        <v>6</v>
      </c>
      <c r="H94" s="29" t="s">
        <v>7</v>
      </c>
      <c r="I94" s="29" t="s">
        <v>8</v>
      </c>
      <c r="J94" s="29" t="s">
        <v>9</v>
      </c>
      <c r="K94" s="29" t="s">
        <v>10</v>
      </c>
      <c r="L94" s="29" t="s">
        <v>11</v>
      </c>
      <c r="M94" s="29" t="s">
        <v>12</v>
      </c>
      <c r="N94" s="29" t="s">
        <v>13</v>
      </c>
      <c r="O94" s="29" t="s">
        <v>14</v>
      </c>
      <c r="P94" s="29" t="s">
        <v>15</v>
      </c>
      <c r="Q94" s="29" t="s">
        <v>16</v>
      </c>
      <c r="R94" s="29" t="s">
        <v>17</v>
      </c>
      <c r="S94" s="29" t="s">
        <v>18</v>
      </c>
      <c r="T94" s="29" t="s">
        <v>19</v>
      </c>
      <c r="U94" s="30" t="s">
        <v>20</v>
      </c>
      <c r="V94" s="30" t="s">
        <v>21</v>
      </c>
      <c r="W94" s="29" t="s">
        <v>22</v>
      </c>
      <c r="X94" s="29" t="s">
        <v>23</v>
      </c>
      <c r="AB94" s="31">
        <f>AB93-V92</f>
        <v>-4645397</v>
      </c>
    </row>
    <row r="95" spans="1:28" hidden="1" x14ac:dyDescent="0.2"/>
    <row r="96" spans="1:28" hidden="1" x14ac:dyDescent="0.2">
      <c r="A96" s="3" t="s">
        <v>24</v>
      </c>
      <c r="B96" s="3">
        <v>316095</v>
      </c>
      <c r="C96" s="3">
        <v>67570</v>
      </c>
      <c r="D96" s="3">
        <v>232565</v>
      </c>
      <c r="E96" s="3">
        <v>1296098</v>
      </c>
      <c r="F96" s="3">
        <v>410130</v>
      </c>
      <c r="G96" s="3">
        <v>772263</v>
      </c>
      <c r="H96" s="3">
        <v>622608</v>
      </c>
      <c r="I96" s="3">
        <v>572651</v>
      </c>
      <c r="J96" s="3">
        <v>931321</v>
      </c>
      <c r="K96" s="3">
        <v>1211587</v>
      </c>
      <c r="L96" s="3">
        <v>0</v>
      </c>
      <c r="M96" s="3">
        <v>392012</v>
      </c>
      <c r="N96" s="3">
        <v>4285032</v>
      </c>
      <c r="O96" s="3">
        <v>6614676</v>
      </c>
      <c r="P96" s="3">
        <v>6209962</v>
      </c>
      <c r="Q96" s="3">
        <v>8013123</v>
      </c>
      <c r="R96" s="3">
        <v>476701</v>
      </c>
      <c r="S96" s="3">
        <v>1213162</v>
      </c>
      <c r="T96" s="3">
        <v>3994487</v>
      </c>
      <c r="U96" s="3">
        <v>37632042</v>
      </c>
      <c r="V96" s="3">
        <v>32804787</v>
      </c>
      <c r="W96" s="3">
        <v>4827255</v>
      </c>
      <c r="X96" s="3">
        <v>14.7</v>
      </c>
    </row>
    <row r="97" spans="1:24" hidden="1" x14ac:dyDescent="0.2">
      <c r="A97" s="3" t="s">
        <v>25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1137601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1137601</v>
      </c>
      <c r="V97" s="3">
        <v>779957</v>
      </c>
      <c r="W97" s="3">
        <v>357644</v>
      </c>
      <c r="X97" s="3">
        <v>45.9</v>
      </c>
    </row>
    <row r="98" spans="1:24" hidden="1" x14ac:dyDescent="0.2">
      <c r="A98" s="3" t="s">
        <v>26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32439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63000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95439</v>
      </c>
      <c r="V98" s="3">
        <v>23917</v>
      </c>
      <c r="W98" s="3">
        <v>71522</v>
      </c>
      <c r="X98" s="3">
        <v>299</v>
      </c>
    </row>
    <row r="99" spans="1:24" hidden="1" x14ac:dyDescent="0.2">
      <c r="A99" s="3" t="s">
        <v>27</v>
      </c>
      <c r="B99" s="3">
        <v>0</v>
      </c>
      <c r="C99" s="3">
        <v>0</v>
      </c>
      <c r="D99" s="3">
        <v>0</v>
      </c>
      <c r="E99" s="3">
        <v>700</v>
      </c>
      <c r="F99" s="3">
        <v>0</v>
      </c>
      <c r="G99" s="3">
        <v>2047</v>
      </c>
      <c r="H99" s="3">
        <v>0</v>
      </c>
      <c r="I99" s="3">
        <v>0</v>
      </c>
      <c r="J99" s="3">
        <v>1984</v>
      </c>
      <c r="K99" s="3">
        <v>2714</v>
      </c>
      <c r="L99" s="3">
        <v>0</v>
      </c>
      <c r="M99" s="3">
        <v>0</v>
      </c>
      <c r="N99" s="3">
        <v>57906</v>
      </c>
      <c r="O99" s="3">
        <v>138899</v>
      </c>
      <c r="P99" s="3">
        <v>90000</v>
      </c>
      <c r="Q99" s="3">
        <v>340000</v>
      </c>
      <c r="R99" s="3">
        <v>0</v>
      </c>
      <c r="S99" s="3">
        <v>0</v>
      </c>
      <c r="T99" s="3">
        <v>23421</v>
      </c>
      <c r="U99" s="3">
        <v>657671</v>
      </c>
      <c r="V99" s="3">
        <v>611286</v>
      </c>
      <c r="W99" s="3">
        <v>46385</v>
      </c>
      <c r="X99" s="3">
        <v>7.6</v>
      </c>
    </row>
    <row r="100" spans="1:24" hidden="1" x14ac:dyDescent="0.2">
      <c r="A100" s="3" t="s">
        <v>28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9326145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9326145</v>
      </c>
      <c r="V100" s="3">
        <v>6022538</v>
      </c>
      <c r="W100" s="3">
        <v>3303607</v>
      </c>
      <c r="X100" s="3">
        <v>54.9</v>
      </c>
    </row>
    <row r="101" spans="1:24" hidden="1" x14ac:dyDescent="0.2">
      <c r="A101" s="3" t="s">
        <v>29</v>
      </c>
      <c r="B101" s="3">
        <v>33023</v>
      </c>
      <c r="C101" s="3">
        <v>8419</v>
      </c>
      <c r="D101" s="3">
        <v>28467</v>
      </c>
      <c r="E101" s="3">
        <v>160840</v>
      </c>
      <c r="F101" s="3">
        <v>51441</v>
      </c>
      <c r="G101" s="3">
        <v>100194</v>
      </c>
      <c r="H101" s="3">
        <v>77324</v>
      </c>
      <c r="I101" s="3">
        <v>73461</v>
      </c>
      <c r="J101" s="3">
        <v>116059</v>
      </c>
      <c r="K101" s="3">
        <v>154513</v>
      </c>
      <c r="L101" s="3">
        <v>0</v>
      </c>
      <c r="M101" s="3">
        <v>49442</v>
      </c>
      <c r="N101" s="3">
        <v>544466</v>
      </c>
      <c r="O101" s="3">
        <v>832126</v>
      </c>
      <c r="P101" s="3">
        <v>777107</v>
      </c>
      <c r="Q101" s="3">
        <v>1007889</v>
      </c>
      <c r="R101" s="3">
        <v>58984</v>
      </c>
      <c r="S101" s="3">
        <v>147084</v>
      </c>
      <c r="T101" s="3">
        <v>491628</v>
      </c>
      <c r="U101" s="3">
        <v>4712467</v>
      </c>
      <c r="V101" s="3">
        <v>4350000</v>
      </c>
      <c r="W101" s="3">
        <v>362467</v>
      </c>
      <c r="X101" s="3">
        <v>8.3000000000000007</v>
      </c>
    </row>
    <row r="102" spans="1:24" hidden="1" x14ac:dyDescent="0.2">
      <c r="A102" s="3" t="s">
        <v>30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4056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8102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12158</v>
      </c>
      <c r="V102" s="3">
        <v>3167</v>
      </c>
      <c r="W102" s="3">
        <v>8991</v>
      </c>
      <c r="X102" s="3">
        <v>283.89999999999998</v>
      </c>
    </row>
    <row r="103" spans="1:24" hidden="1" x14ac:dyDescent="0.2">
      <c r="A103" s="3" t="s">
        <v>31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143090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143090</v>
      </c>
      <c r="V103" s="3">
        <v>148080</v>
      </c>
      <c r="W103" s="3">
        <v>-4990</v>
      </c>
      <c r="X103" s="3">
        <v>-3.4</v>
      </c>
    </row>
    <row r="104" spans="1:24" hidden="1" x14ac:dyDescent="0.2">
      <c r="A104" s="3" t="s">
        <v>32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25894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25894</v>
      </c>
      <c r="V104" s="3">
        <v>32000</v>
      </c>
      <c r="W104" s="3">
        <v>-6106</v>
      </c>
      <c r="X104" s="3">
        <v>-19.100000000000001</v>
      </c>
    </row>
    <row r="105" spans="1:24" hidden="1" x14ac:dyDescent="0.2">
      <c r="A105" s="3" t="s">
        <v>33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200000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200000</v>
      </c>
      <c r="V105" s="3">
        <v>200000</v>
      </c>
      <c r="W105" s="3">
        <v>0</v>
      </c>
      <c r="X105" s="3">
        <v>0</v>
      </c>
    </row>
    <row r="106" spans="1:24" hidden="1" x14ac:dyDescent="0.2">
      <c r="A106" s="3" t="s">
        <v>34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1920000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1920000</v>
      </c>
      <c r="V106" s="3">
        <v>3724831</v>
      </c>
      <c r="W106" s="3">
        <v>-1804831</v>
      </c>
      <c r="X106" s="3">
        <v>-48.5</v>
      </c>
    </row>
    <row r="107" spans="1:24" hidden="1" x14ac:dyDescent="0.2">
      <c r="A107" s="3" t="s">
        <v>35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350524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350524</v>
      </c>
      <c r="V107" s="3">
        <v>323960</v>
      </c>
      <c r="W107" s="3">
        <v>26564</v>
      </c>
      <c r="X107" s="3">
        <v>8.1999999999999993</v>
      </c>
    </row>
    <row r="108" spans="1:24" hidden="1" x14ac:dyDescent="0.2">
      <c r="A108" s="3" t="s">
        <v>36</v>
      </c>
      <c r="B108" s="3">
        <v>2046</v>
      </c>
      <c r="C108" s="3">
        <v>45842</v>
      </c>
      <c r="D108" s="3">
        <v>0</v>
      </c>
      <c r="E108" s="3">
        <v>2200</v>
      </c>
      <c r="F108" s="3">
        <v>0</v>
      </c>
      <c r="G108" s="3">
        <v>6643</v>
      </c>
      <c r="H108" s="3">
        <v>565</v>
      </c>
      <c r="I108" s="3">
        <v>0</v>
      </c>
      <c r="J108" s="3">
        <v>1349</v>
      </c>
      <c r="K108" s="3">
        <v>11688</v>
      </c>
      <c r="L108" s="3">
        <v>0</v>
      </c>
      <c r="M108" s="3">
        <v>6360</v>
      </c>
      <c r="N108" s="3">
        <v>9104</v>
      </c>
      <c r="O108" s="3">
        <v>11080</v>
      </c>
      <c r="P108" s="3">
        <v>0</v>
      </c>
      <c r="Q108" s="3">
        <v>2100</v>
      </c>
      <c r="R108" s="3">
        <v>880</v>
      </c>
      <c r="S108" s="3">
        <v>0</v>
      </c>
      <c r="T108" s="3">
        <v>0</v>
      </c>
      <c r="U108" s="3">
        <v>99857</v>
      </c>
      <c r="V108" s="3">
        <v>105718</v>
      </c>
      <c r="W108" s="3">
        <v>-5861</v>
      </c>
      <c r="X108" s="3">
        <v>-5.5</v>
      </c>
    </row>
    <row r="109" spans="1:24" hidden="1" x14ac:dyDescent="0.2">
      <c r="A109" s="3" t="s">
        <v>37</v>
      </c>
      <c r="B109" s="3">
        <v>120176</v>
      </c>
      <c r="C109" s="3">
        <v>0</v>
      </c>
      <c r="D109" s="3">
        <v>495215</v>
      </c>
      <c r="E109" s="3">
        <v>900</v>
      </c>
      <c r="F109" s="3">
        <v>530700</v>
      </c>
      <c r="G109" s="3">
        <v>127644</v>
      </c>
      <c r="H109" s="3">
        <v>72995</v>
      </c>
      <c r="I109" s="3">
        <v>0</v>
      </c>
      <c r="J109" s="3">
        <v>151809</v>
      </c>
      <c r="K109" s="3">
        <v>1064637</v>
      </c>
      <c r="L109" s="3">
        <v>0</v>
      </c>
      <c r="M109" s="3">
        <v>127198</v>
      </c>
      <c r="N109" s="3">
        <v>6381136</v>
      </c>
      <c r="O109" s="3">
        <v>1629274</v>
      </c>
      <c r="P109" s="3">
        <v>4068402</v>
      </c>
      <c r="Q109" s="3">
        <v>100000</v>
      </c>
      <c r="R109" s="3">
        <v>950000</v>
      </c>
      <c r="S109" s="3">
        <v>29480</v>
      </c>
      <c r="T109" s="3">
        <v>39461</v>
      </c>
      <c r="U109" s="3">
        <v>15889027</v>
      </c>
      <c r="V109" s="3">
        <v>20576240</v>
      </c>
      <c r="W109" s="3">
        <v>-4687213</v>
      </c>
      <c r="X109" s="3">
        <v>-22.8</v>
      </c>
    </row>
    <row r="110" spans="1:24" hidden="1" x14ac:dyDescent="0.2">
      <c r="A110" s="3" t="s">
        <v>38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4400000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4400000</v>
      </c>
      <c r="V110" s="3">
        <v>2850000</v>
      </c>
      <c r="W110" s="3">
        <v>1550000</v>
      </c>
      <c r="X110" s="3">
        <v>54.4</v>
      </c>
    </row>
    <row r="111" spans="1:24" hidden="1" x14ac:dyDescent="0.2">
      <c r="A111" s="3" t="s">
        <v>39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198239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198239</v>
      </c>
      <c r="V111" s="3">
        <v>192608</v>
      </c>
      <c r="W111" s="3">
        <v>5631</v>
      </c>
      <c r="X111" s="3">
        <v>2.9</v>
      </c>
    </row>
    <row r="112" spans="1:24" hidden="1" x14ac:dyDescent="0.2">
      <c r="A112" s="3" t="s">
        <v>40</v>
      </c>
      <c r="B112" s="3">
        <v>0</v>
      </c>
      <c r="C112" s="3">
        <v>0</v>
      </c>
      <c r="D112" s="3">
        <v>468500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468500</v>
      </c>
      <c r="V112" s="3">
        <v>503250</v>
      </c>
      <c r="W112" s="3">
        <v>-34750</v>
      </c>
      <c r="X112" s="3">
        <v>-6.9</v>
      </c>
    </row>
    <row r="113" spans="1:24" hidden="1" x14ac:dyDescent="0.2">
      <c r="A113" s="3" t="s">
        <v>41</v>
      </c>
      <c r="B113" s="3">
        <v>0</v>
      </c>
      <c r="C113" s="3">
        <v>0</v>
      </c>
      <c r="D113" s="3">
        <v>94000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94000</v>
      </c>
      <c r="V113" s="3">
        <v>100000</v>
      </c>
      <c r="W113" s="3">
        <v>-6000</v>
      </c>
      <c r="X113" s="3">
        <v>-6</v>
      </c>
    </row>
    <row r="114" spans="1:24" hidden="1" x14ac:dyDescent="0.2">
      <c r="A114" s="3" t="s">
        <v>42</v>
      </c>
      <c r="B114" s="3">
        <v>0</v>
      </c>
      <c r="C114" s="3">
        <v>0</v>
      </c>
      <c r="D114" s="3">
        <v>3821713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3821713</v>
      </c>
      <c r="V114" s="3">
        <v>4385000</v>
      </c>
      <c r="W114" s="3">
        <v>-563287</v>
      </c>
      <c r="X114" s="3">
        <v>-12.8</v>
      </c>
    </row>
    <row r="115" spans="1:24" hidden="1" x14ac:dyDescent="0.2">
      <c r="A115" s="3" t="s">
        <v>43</v>
      </c>
      <c r="B115" s="3">
        <v>0</v>
      </c>
      <c r="C115" s="3">
        <v>0</v>
      </c>
      <c r="D115" s="3">
        <v>0</v>
      </c>
      <c r="E115" s="3">
        <v>0</v>
      </c>
      <c r="F115" s="3">
        <v>1401390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750000</v>
      </c>
      <c r="U115" s="3">
        <v>2151390</v>
      </c>
      <c r="V115" s="3">
        <v>3180000</v>
      </c>
      <c r="W115" s="3">
        <v>-1028610</v>
      </c>
      <c r="X115" s="3">
        <v>-32.299999999999997</v>
      </c>
    </row>
    <row r="116" spans="1:24" hidden="1" x14ac:dyDescent="0.2">
      <c r="A116" s="3" t="s">
        <v>44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6502594</v>
      </c>
      <c r="U116" s="3">
        <v>6502594</v>
      </c>
      <c r="V116" s="3">
        <v>4876351</v>
      </c>
      <c r="W116" s="3">
        <v>1626243</v>
      </c>
      <c r="X116" s="3">
        <v>33.299999999999997</v>
      </c>
    </row>
    <row r="117" spans="1:24" hidden="1" x14ac:dyDescent="0.2">
      <c r="A117" s="3" t="s">
        <v>45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32505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32505</v>
      </c>
      <c r="V117" s="3">
        <v>19592</v>
      </c>
      <c r="W117" s="3">
        <v>12913</v>
      </c>
      <c r="X117" s="3">
        <v>65.900000000000006</v>
      </c>
    </row>
    <row r="118" spans="1:24" hidden="1" x14ac:dyDescent="0.2">
      <c r="A118" s="3" t="s">
        <v>46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4596611</v>
      </c>
      <c r="Q118" s="3">
        <v>7353917</v>
      </c>
      <c r="R118" s="3">
        <v>0</v>
      </c>
      <c r="S118" s="3">
        <v>0</v>
      </c>
      <c r="T118" s="3">
        <v>4525</v>
      </c>
      <c r="U118" s="3">
        <v>11955053</v>
      </c>
      <c r="V118" s="3">
        <v>11885519</v>
      </c>
      <c r="W118" s="3">
        <v>69534</v>
      </c>
      <c r="X118" s="3">
        <v>0.6</v>
      </c>
    </row>
    <row r="119" spans="1:24" hidden="1" x14ac:dyDescent="0.2">
      <c r="A119" s="3" t="s">
        <v>47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2134500</v>
      </c>
      <c r="R119" s="3">
        <v>0</v>
      </c>
      <c r="S119" s="3">
        <v>0</v>
      </c>
      <c r="T119" s="3">
        <v>0</v>
      </c>
      <c r="U119" s="3">
        <v>2134500</v>
      </c>
      <c r="V119" s="3">
        <v>2040000</v>
      </c>
      <c r="W119" s="3">
        <v>94500</v>
      </c>
      <c r="X119" s="3">
        <v>4.5999999999999996</v>
      </c>
    </row>
    <row r="120" spans="1:24" hidden="1" x14ac:dyDescent="0.2">
      <c r="A120" s="3" t="s">
        <v>48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12764000</v>
      </c>
      <c r="Q120" s="3">
        <v>1421804</v>
      </c>
      <c r="R120" s="3">
        <v>0</v>
      </c>
      <c r="S120" s="3">
        <v>0</v>
      </c>
      <c r="T120" s="3">
        <v>0</v>
      </c>
      <c r="U120" s="3">
        <v>14185804</v>
      </c>
      <c r="V120" s="3">
        <v>7869102</v>
      </c>
      <c r="W120" s="3">
        <v>6316702</v>
      </c>
      <c r="X120" s="3">
        <v>80.3</v>
      </c>
    </row>
    <row r="121" spans="1:24" hidden="1" x14ac:dyDescent="0.2">
      <c r="A121" s="3" t="s">
        <v>49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95000</v>
      </c>
      <c r="R121" s="3">
        <v>0</v>
      </c>
      <c r="S121" s="3">
        <v>0</v>
      </c>
      <c r="T121" s="3">
        <v>0</v>
      </c>
      <c r="U121" s="3">
        <v>95000</v>
      </c>
      <c r="V121" s="3">
        <v>55000</v>
      </c>
      <c r="W121" s="3">
        <v>40000</v>
      </c>
      <c r="X121" s="3">
        <v>72.7</v>
      </c>
    </row>
    <row r="122" spans="1:24" hidden="1" x14ac:dyDescent="0.2">
      <c r="A122" s="3" t="s">
        <v>50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1213000</v>
      </c>
      <c r="R122" s="3">
        <v>0</v>
      </c>
      <c r="S122" s="3">
        <v>0</v>
      </c>
      <c r="T122" s="3">
        <v>0</v>
      </c>
      <c r="U122" s="3">
        <v>1213000</v>
      </c>
      <c r="V122" s="3">
        <v>0</v>
      </c>
      <c r="W122" s="3">
        <v>1213000</v>
      </c>
      <c r="X122" s="3">
        <v>100</v>
      </c>
    </row>
    <row r="123" spans="1:24" hidden="1" x14ac:dyDescent="0.2">
      <c r="A123" s="3" t="s">
        <v>51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6930000</v>
      </c>
      <c r="R123" s="3">
        <v>0</v>
      </c>
      <c r="S123" s="3">
        <v>0</v>
      </c>
      <c r="T123" s="3">
        <v>0</v>
      </c>
      <c r="U123" s="3">
        <v>6930000</v>
      </c>
      <c r="V123" s="3">
        <v>4085000</v>
      </c>
      <c r="W123" s="3">
        <v>2845000</v>
      </c>
      <c r="X123" s="3">
        <v>69.599999999999994</v>
      </c>
    </row>
    <row r="124" spans="1:24" hidden="1" x14ac:dyDescent="0.2">
      <c r="A124" s="3" t="s">
        <v>52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7283395</v>
      </c>
      <c r="R124" s="3">
        <v>0</v>
      </c>
      <c r="S124" s="3">
        <v>0</v>
      </c>
      <c r="T124" s="3">
        <v>0</v>
      </c>
      <c r="U124" s="3">
        <v>7283395</v>
      </c>
      <c r="V124" s="3">
        <v>2160000</v>
      </c>
      <c r="W124" s="3">
        <v>5123395</v>
      </c>
      <c r="X124" s="3">
        <v>237.2</v>
      </c>
    </row>
    <row r="125" spans="1:24" hidden="1" x14ac:dyDescent="0.2">
      <c r="A125" s="3" t="s">
        <v>53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1065000</v>
      </c>
      <c r="R125" s="3">
        <v>0</v>
      </c>
      <c r="S125" s="3">
        <v>0</v>
      </c>
      <c r="T125" s="3">
        <v>0</v>
      </c>
      <c r="U125" s="3">
        <v>1065000</v>
      </c>
      <c r="V125" s="3">
        <v>0</v>
      </c>
      <c r="W125" s="3">
        <v>1065000</v>
      </c>
      <c r="X125" s="3">
        <v>100</v>
      </c>
    </row>
    <row r="126" spans="1:24" hidden="1" x14ac:dyDescent="0.2">
      <c r="A126" s="3" t="s">
        <v>54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121242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121242</v>
      </c>
      <c r="V126" s="3">
        <v>41191</v>
      </c>
      <c r="W126" s="3">
        <v>80051</v>
      </c>
      <c r="X126" s="3">
        <v>194.3</v>
      </c>
    </row>
    <row r="127" spans="1:24" hidden="1" x14ac:dyDescent="0.2">
      <c r="A127" s="3" t="s">
        <v>55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110000</v>
      </c>
      <c r="M127" s="3">
        <v>0</v>
      </c>
      <c r="N127" s="3">
        <v>52808</v>
      </c>
      <c r="O127" s="3">
        <v>0</v>
      </c>
      <c r="P127" s="3">
        <v>0</v>
      </c>
      <c r="Q127" s="3">
        <v>171350</v>
      </c>
      <c r="R127" s="3">
        <v>0</v>
      </c>
      <c r="S127" s="3">
        <v>0</v>
      </c>
      <c r="T127" s="3">
        <v>0</v>
      </c>
      <c r="U127" s="3">
        <v>334158</v>
      </c>
      <c r="V127" s="3">
        <v>152916</v>
      </c>
      <c r="W127" s="3">
        <v>181242</v>
      </c>
      <c r="X127" s="3">
        <v>118.5</v>
      </c>
    </row>
    <row r="128" spans="1:24" hidden="1" x14ac:dyDescent="0.2">
      <c r="A128" s="3" t="s">
        <v>56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1448637</v>
      </c>
      <c r="U128" s="3">
        <v>1448637</v>
      </c>
      <c r="V128" s="3">
        <v>1281853</v>
      </c>
      <c r="W128" s="3">
        <v>166784</v>
      </c>
      <c r="X128" s="3">
        <v>13</v>
      </c>
    </row>
    <row r="129" spans="1:24" hidden="1" x14ac:dyDescent="0.2">
      <c r="A129" s="3" t="s">
        <v>57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85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1278299</v>
      </c>
      <c r="O129" s="3">
        <v>8326937</v>
      </c>
      <c r="P129" s="3">
        <v>0</v>
      </c>
      <c r="Q129" s="3">
        <v>0</v>
      </c>
      <c r="R129" s="3">
        <v>0</v>
      </c>
      <c r="S129" s="3">
        <v>0</v>
      </c>
      <c r="T129" s="3">
        <v>2558</v>
      </c>
      <c r="U129" s="3">
        <v>9607879</v>
      </c>
      <c r="V129" s="3">
        <v>7971456</v>
      </c>
      <c r="W129" s="3">
        <v>1636423</v>
      </c>
      <c r="X129" s="3">
        <v>20.5</v>
      </c>
    </row>
    <row r="130" spans="1:24" hidden="1" x14ac:dyDescent="0.2">
      <c r="A130" s="3" t="s">
        <v>58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848078</v>
      </c>
      <c r="Q130" s="3">
        <v>0</v>
      </c>
      <c r="R130" s="3">
        <v>0</v>
      </c>
      <c r="S130" s="3">
        <v>0</v>
      </c>
      <c r="T130" s="3">
        <v>0</v>
      </c>
      <c r="U130" s="3">
        <v>848078</v>
      </c>
      <c r="V130" s="3">
        <v>858181</v>
      </c>
      <c r="W130" s="3">
        <v>-10103</v>
      </c>
      <c r="X130" s="3">
        <v>-1.2</v>
      </c>
    </row>
    <row r="131" spans="1:24" hidden="1" x14ac:dyDescent="0.2">
      <c r="A131" s="3" t="s">
        <v>59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130661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130661</v>
      </c>
      <c r="V131" s="3">
        <v>153380</v>
      </c>
      <c r="W131" s="3">
        <v>-22719</v>
      </c>
      <c r="X131" s="3">
        <v>-14.8</v>
      </c>
    </row>
    <row r="132" spans="1:24" hidden="1" x14ac:dyDescent="0.2">
      <c r="A132" s="3" t="s">
        <v>61</v>
      </c>
      <c r="B132" s="3">
        <v>0</v>
      </c>
      <c r="C132" s="3">
        <v>0</v>
      </c>
      <c r="D132" s="3">
        <v>1100</v>
      </c>
      <c r="E132" s="3">
        <v>0</v>
      </c>
      <c r="F132" s="3">
        <v>0</v>
      </c>
      <c r="G132" s="3">
        <v>0</v>
      </c>
      <c r="H132" s="3">
        <v>339</v>
      </c>
      <c r="I132" s="3">
        <v>0</v>
      </c>
      <c r="J132" s="3">
        <v>5284</v>
      </c>
      <c r="K132" s="3">
        <v>514800</v>
      </c>
      <c r="L132" s="3">
        <v>0</v>
      </c>
      <c r="M132" s="3">
        <v>0</v>
      </c>
      <c r="N132" s="3">
        <v>0</v>
      </c>
      <c r="O132" s="3">
        <v>5472</v>
      </c>
      <c r="P132" s="3">
        <v>0</v>
      </c>
      <c r="Q132" s="3">
        <v>8700</v>
      </c>
      <c r="R132" s="3">
        <v>0</v>
      </c>
      <c r="S132" s="3">
        <v>0</v>
      </c>
      <c r="T132" s="3">
        <v>0</v>
      </c>
      <c r="U132" s="3">
        <v>535695</v>
      </c>
      <c r="V132" s="3">
        <v>486595</v>
      </c>
      <c r="W132" s="3">
        <v>49100</v>
      </c>
      <c r="X132" s="3">
        <v>10.1</v>
      </c>
    </row>
    <row r="133" spans="1:24" hidden="1" x14ac:dyDescent="0.2">
      <c r="A133" s="3" t="s">
        <v>62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193050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193050</v>
      </c>
      <c r="V133" s="3">
        <v>175500</v>
      </c>
      <c r="W133" s="3">
        <v>17550</v>
      </c>
      <c r="X133" s="3">
        <v>10</v>
      </c>
    </row>
    <row r="134" spans="1:24" hidden="1" x14ac:dyDescent="0.2">
      <c r="A134" s="3" t="s">
        <v>63</v>
      </c>
      <c r="B134" s="3">
        <v>11666</v>
      </c>
      <c r="C134" s="3">
        <v>0</v>
      </c>
      <c r="D134" s="3">
        <v>0</v>
      </c>
      <c r="E134" s="3">
        <v>260</v>
      </c>
      <c r="F134" s="3">
        <v>0</v>
      </c>
      <c r="G134" s="3">
        <v>66370</v>
      </c>
      <c r="H134" s="3">
        <v>0</v>
      </c>
      <c r="I134" s="3">
        <v>0</v>
      </c>
      <c r="J134" s="3">
        <v>56783</v>
      </c>
      <c r="K134" s="3">
        <v>322389</v>
      </c>
      <c r="L134" s="3">
        <v>0</v>
      </c>
      <c r="M134" s="3">
        <v>17399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6610</v>
      </c>
      <c r="U134" s="3">
        <v>481477</v>
      </c>
      <c r="V134" s="3">
        <v>637835</v>
      </c>
      <c r="W134" s="3">
        <v>-156358</v>
      </c>
      <c r="X134" s="3">
        <v>-24.5</v>
      </c>
    </row>
    <row r="135" spans="1:24" hidden="1" x14ac:dyDescent="0.2">
      <c r="A135" s="3" t="s">
        <v>64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1500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1500</v>
      </c>
      <c r="V135" s="3">
        <v>0</v>
      </c>
      <c r="W135" s="3">
        <v>1500</v>
      </c>
      <c r="X135" s="3">
        <v>100</v>
      </c>
    </row>
    <row r="136" spans="1:24" hidden="1" x14ac:dyDescent="0.2">
      <c r="A136" s="3" t="s">
        <v>65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1000</v>
      </c>
      <c r="K136" s="3">
        <v>6946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7946</v>
      </c>
      <c r="V136" s="3">
        <v>8230</v>
      </c>
      <c r="W136" s="3">
        <v>-284</v>
      </c>
      <c r="X136" s="3">
        <v>-3.5</v>
      </c>
    </row>
    <row r="137" spans="1:24" hidden="1" x14ac:dyDescent="0.2">
      <c r="A137" s="3" t="s">
        <v>66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78428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78428</v>
      </c>
      <c r="V137" s="3">
        <v>116964</v>
      </c>
      <c r="W137" s="3">
        <v>-38536</v>
      </c>
      <c r="X137" s="3">
        <v>-32.9</v>
      </c>
    </row>
    <row r="138" spans="1:24" hidden="1" x14ac:dyDescent="0.2">
      <c r="A138" s="3" t="s">
        <v>67</v>
      </c>
      <c r="B138" s="3">
        <v>12013</v>
      </c>
      <c r="C138" s="3">
        <v>12395</v>
      </c>
      <c r="D138" s="3">
        <v>4200</v>
      </c>
      <c r="E138" s="3">
        <v>10751</v>
      </c>
      <c r="F138" s="3">
        <v>5200</v>
      </c>
      <c r="G138" s="3">
        <v>4906</v>
      </c>
      <c r="H138" s="3">
        <v>12229</v>
      </c>
      <c r="I138" s="3">
        <v>9613</v>
      </c>
      <c r="J138" s="3">
        <v>12681</v>
      </c>
      <c r="K138" s="3">
        <v>28855</v>
      </c>
      <c r="L138" s="3">
        <v>0</v>
      </c>
      <c r="M138" s="3">
        <v>16960</v>
      </c>
      <c r="N138" s="3">
        <v>9861</v>
      </c>
      <c r="O138" s="3">
        <v>3650</v>
      </c>
      <c r="P138" s="3">
        <v>22219</v>
      </c>
      <c r="Q138" s="3">
        <v>21500</v>
      </c>
      <c r="R138" s="3">
        <v>25278</v>
      </c>
      <c r="S138" s="3">
        <v>10208</v>
      </c>
      <c r="T138" s="3">
        <v>14367</v>
      </c>
      <c r="U138" s="3">
        <v>236886</v>
      </c>
      <c r="V138" s="3">
        <v>251467</v>
      </c>
      <c r="W138" s="3">
        <v>-14581</v>
      </c>
      <c r="X138" s="3">
        <v>-5.8</v>
      </c>
    </row>
    <row r="139" spans="1:24" hidden="1" x14ac:dyDescent="0.2">
      <c r="A139" s="3" t="s">
        <v>68</v>
      </c>
      <c r="B139" s="3">
        <v>43775</v>
      </c>
      <c r="C139" s="3">
        <v>0</v>
      </c>
      <c r="D139" s="3">
        <v>2500</v>
      </c>
      <c r="E139" s="3">
        <v>3711</v>
      </c>
      <c r="F139" s="3">
        <v>650</v>
      </c>
      <c r="G139" s="3">
        <v>20136</v>
      </c>
      <c r="H139" s="3">
        <v>4074</v>
      </c>
      <c r="I139" s="3">
        <v>45664</v>
      </c>
      <c r="J139" s="3">
        <v>76913</v>
      </c>
      <c r="K139" s="3">
        <v>11625</v>
      </c>
      <c r="L139" s="3">
        <v>980</v>
      </c>
      <c r="M139" s="3">
        <v>2491</v>
      </c>
      <c r="N139" s="3">
        <v>2393</v>
      </c>
      <c r="O139" s="3">
        <v>1073</v>
      </c>
      <c r="P139" s="3">
        <v>5544</v>
      </c>
      <c r="Q139" s="3">
        <v>19544</v>
      </c>
      <c r="R139" s="3">
        <v>9535</v>
      </c>
      <c r="S139" s="3">
        <v>3924</v>
      </c>
      <c r="T139" s="3">
        <v>4861</v>
      </c>
      <c r="U139" s="3">
        <v>259393</v>
      </c>
      <c r="V139" s="3">
        <v>219284</v>
      </c>
      <c r="W139" s="3">
        <v>40109</v>
      </c>
      <c r="X139" s="3">
        <v>18.3</v>
      </c>
    </row>
    <row r="140" spans="1:24" hidden="1" x14ac:dyDescent="0.2">
      <c r="A140" s="3" t="s">
        <v>69</v>
      </c>
      <c r="B140" s="3">
        <v>7282</v>
      </c>
      <c r="C140" s="3">
        <v>0</v>
      </c>
      <c r="D140" s="3">
        <v>4200</v>
      </c>
      <c r="E140" s="3">
        <v>5300</v>
      </c>
      <c r="F140" s="3">
        <v>2500</v>
      </c>
      <c r="G140" s="3">
        <v>71939</v>
      </c>
      <c r="H140" s="3">
        <v>11071</v>
      </c>
      <c r="I140" s="3">
        <v>2841</v>
      </c>
      <c r="J140" s="3">
        <v>19280</v>
      </c>
      <c r="K140" s="3">
        <v>2473</v>
      </c>
      <c r="L140" s="3">
        <v>0</v>
      </c>
      <c r="M140" s="3">
        <v>6827</v>
      </c>
      <c r="N140" s="3">
        <v>28494</v>
      </c>
      <c r="O140" s="3">
        <v>22194</v>
      </c>
      <c r="P140" s="3">
        <v>103678</v>
      </c>
      <c r="Q140" s="3">
        <v>80675</v>
      </c>
      <c r="R140" s="3">
        <v>2456</v>
      </c>
      <c r="S140" s="3">
        <v>5537</v>
      </c>
      <c r="T140" s="3">
        <v>26861</v>
      </c>
      <c r="U140" s="3">
        <v>403608</v>
      </c>
      <c r="V140" s="3">
        <v>403700</v>
      </c>
      <c r="W140" s="3">
        <v>-92</v>
      </c>
      <c r="X140" s="3">
        <v>0</v>
      </c>
    </row>
    <row r="141" spans="1:24" hidden="1" x14ac:dyDescent="0.2">
      <c r="A141" s="3" t="s">
        <v>70</v>
      </c>
      <c r="B141" s="3">
        <v>0</v>
      </c>
      <c r="C141" s="3">
        <v>0</v>
      </c>
      <c r="D141" s="3">
        <v>0</v>
      </c>
      <c r="E141" s="3">
        <v>600</v>
      </c>
      <c r="F141" s="3">
        <v>0</v>
      </c>
      <c r="G141" s="3">
        <v>0</v>
      </c>
      <c r="H141" s="3">
        <v>700</v>
      </c>
      <c r="I141" s="3">
        <v>0</v>
      </c>
      <c r="J141" s="3">
        <v>2878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31765</v>
      </c>
      <c r="R141" s="3">
        <v>0</v>
      </c>
      <c r="S141" s="3">
        <v>0</v>
      </c>
      <c r="T141" s="3">
        <v>0</v>
      </c>
      <c r="U141" s="3">
        <v>35943</v>
      </c>
      <c r="V141" s="3">
        <v>20969</v>
      </c>
      <c r="W141" s="3">
        <v>14974</v>
      </c>
      <c r="X141" s="3">
        <v>71.400000000000006</v>
      </c>
    </row>
    <row r="142" spans="1:24" hidden="1" x14ac:dyDescent="0.2">
      <c r="A142" s="3" t="s">
        <v>71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4714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5834399</v>
      </c>
      <c r="P142" s="3">
        <v>0</v>
      </c>
      <c r="Q142" s="3">
        <v>64800</v>
      </c>
      <c r="R142" s="3">
        <v>0</v>
      </c>
      <c r="S142" s="3">
        <v>0</v>
      </c>
      <c r="T142" s="3">
        <v>0</v>
      </c>
      <c r="U142" s="3">
        <v>5903913</v>
      </c>
      <c r="V142" s="3">
        <v>4043786</v>
      </c>
      <c r="W142" s="3">
        <v>1860127</v>
      </c>
      <c r="X142" s="3">
        <v>46</v>
      </c>
    </row>
    <row r="143" spans="1:24" hidden="1" x14ac:dyDescent="0.2">
      <c r="A143" s="3" t="s">
        <v>72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11000</v>
      </c>
      <c r="U143" s="3">
        <v>11000</v>
      </c>
      <c r="V143" s="3">
        <v>10864</v>
      </c>
      <c r="W143" s="3">
        <v>136</v>
      </c>
      <c r="X143" s="3">
        <v>1.3</v>
      </c>
    </row>
    <row r="144" spans="1:24" hidden="1" x14ac:dyDescent="0.2">
      <c r="A144" s="3" t="s">
        <v>73</v>
      </c>
      <c r="B144" s="3">
        <v>626</v>
      </c>
      <c r="C144" s="3">
        <v>2439</v>
      </c>
      <c r="D144" s="3">
        <v>600</v>
      </c>
      <c r="E144" s="3">
        <v>7800</v>
      </c>
      <c r="F144" s="3">
        <v>2200</v>
      </c>
      <c r="G144" s="3">
        <v>3925</v>
      </c>
      <c r="H144" s="3">
        <v>2544</v>
      </c>
      <c r="I144" s="3">
        <v>36040</v>
      </c>
      <c r="J144" s="3">
        <v>3803</v>
      </c>
      <c r="K144" s="3">
        <v>6650</v>
      </c>
      <c r="L144" s="3">
        <v>61433</v>
      </c>
      <c r="M144" s="3">
        <v>2120</v>
      </c>
      <c r="N144" s="3">
        <v>90090</v>
      </c>
      <c r="O144" s="3">
        <v>106670</v>
      </c>
      <c r="P144" s="3">
        <v>178349</v>
      </c>
      <c r="Q144" s="3">
        <v>21100</v>
      </c>
      <c r="R144" s="3">
        <v>827</v>
      </c>
      <c r="S144" s="3">
        <v>1574</v>
      </c>
      <c r="T144" s="3">
        <v>9177</v>
      </c>
      <c r="U144" s="3">
        <v>537967</v>
      </c>
      <c r="V144" s="3">
        <v>484594</v>
      </c>
      <c r="W144" s="3">
        <v>53373</v>
      </c>
      <c r="X144" s="3">
        <v>11</v>
      </c>
    </row>
    <row r="145" spans="1:24" hidden="1" x14ac:dyDescent="0.2">
      <c r="A145" s="3" t="s">
        <v>74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2392</v>
      </c>
      <c r="L145" s="3">
        <v>0</v>
      </c>
      <c r="M145" s="3">
        <v>0</v>
      </c>
      <c r="N145" s="3">
        <v>0</v>
      </c>
      <c r="O145" s="3">
        <v>0</v>
      </c>
      <c r="P145" s="3">
        <v>89958</v>
      </c>
      <c r="Q145" s="3">
        <v>2360844</v>
      </c>
      <c r="R145" s="3">
        <v>0</v>
      </c>
      <c r="S145" s="3">
        <v>0</v>
      </c>
      <c r="T145" s="3">
        <v>57313</v>
      </c>
      <c r="U145" s="3">
        <v>2510507</v>
      </c>
      <c r="V145" s="3">
        <v>2421455</v>
      </c>
      <c r="W145" s="3">
        <v>89052</v>
      </c>
      <c r="X145" s="3">
        <v>3.7</v>
      </c>
    </row>
    <row r="146" spans="1:24" hidden="1" x14ac:dyDescent="0.2">
      <c r="A146" s="3" t="s">
        <v>75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1086466</v>
      </c>
      <c r="R146" s="3">
        <v>0</v>
      </c>
      <c r="S146" s="3">
        <v>0</v>
      </c>
      <c r="T146" s="3">
        <v>0</v>
      </c>
      <c r="U146" s="3">
        <v>1086466</v>
      </c>
      <c r="V146" s="3">
        <v>1010198</v>
      </c>
      <c r="W146" s="3">
        <v>76268</v>
      </c>
      <c r="X146" s="3">
        <v>7.5</v>
      </c>
    </row>
    <row r="147" spans="1:24" hidden="1" x14ac:dyDescent="0.2">
      <c r="A147" s="3" t="s">
        <v>76</v>
      </c>
      <c r="B147" s="3">
        <v>201</v>
      </c>
      <c r="C147" s="3">
        <v>1050</v>
      </c>
      <c r="D147" s="3">
        <v>330</v>
      </c>
      <c r="E147" s="3">
        <v>481</v>
      </c>
      <c r="F147" s="3">
        <v>170</v>
      </c>
      <c r="G147" s="3">
        <v>583</v>
      </c>
      <c r="H147" s="3">
        <v>154</v>
      </c>
      <c r="I147" s="3">
        <v>424</v>
      </c>
      <c r="J147" s="3">
        <v>126</v>
      </c>
      <c r="K147" s="3">
        <v>297</v>
      </c>
      <c r="L147" s="3">
        <v>0</v>
      </c>
      <c r="M147" s="3">
        <v>81</v>
      </c>
      <c r="N147" s="3">
        <v>580</v>
      </c>
      <c r="O147" s="3">
        <v>508</v>
      </c>
      <c r="P147" s="3">
        <v>0</v>
      </c>
      <c r="Q147" s="3">
        <v>300</v>
      </c>
      <c r="R147" s="3">
        <v>166</v>
      </c>
      <c r="S147" s="3">
        <v>404</v>
      </c>
      <c r="T147" s="3">
        <v>266</v>
      </c>
      <c r="U147" s="3">
        <v>6121</v>
      </c>
      <c r="V147" s="3">
        <v>7804</v>
      </c>
      <c r="W147" s="3">
        <v>-1683</v>
      </c>
      <c r="X147" s="3">
        <v>-21.6</v>
      </c>
    </row>
    <row r="148" spans="1:24" hidden="1" x14ac:dyDescent="0.2">
      <c r="A148" s="3" t="s">
        <v>77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1939500</v>
      </c>
      <c r="Q148" s="3">
        <v>0</v>
      </c>
      <c r="R148" s="3">
        <v>0</v>
      </c>
      <c r="S148" s="3">
        <v>0</v>
      </c>
      <c r="T148" s="3">
        <v>0</v>
      </c>
      <c r="U148" s="3">
        <v>1939500</v>
      </c>
      <c r="V148" s="3">
        <v>1808500</v>
      </c>
      <c r="W148" s="3">
        <v>131000</v>
      </c>
      <c r="X148" s="3">
        <v>7.2</v>
      </c>
    </row>
    <row r="149" spans="1:24" hidden="1" x14ac:dyDescent="0.2">
      <c r="A149" s="3" t="s">
        <v>78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1175507</v>
      </c>
      <c r="R149" s="3">
        <v>0</v>
      </c>
      <c r="S149" s="3">
        <v>0</v>
      </c>
      <c r="T149" s="3">
        <v>0</v>
      </c>
      <c r="U149" s="3">
        <v>1175507</v>
      </c>
      <c r="V149" s="3">
        <v>1274902</v>
      </c>
      <c r="W149" s="3">
        <v>-99395</v>
      </c>
      <c r="X149" s="3">
        <v>-7.8</v>
      </c>
    </row>
    <row r="150" spans="1:24" hidden="1" x14ac:dyDescent="0.2">
      <c r="A150" s="3" t="s">
        <v>79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593000</v>
      </c>
      <c r="R150" s="3">
        <v>0</v>
      </c>
      <c r="S150" s="3">
        <v>0</v>
      </c>
      <c r="T150" s="3">
        <v>0</v>
      </c>
      <c r="U150" s="3">
        <v>593000</v>
      </c>
      <c r="V150" s="3">
        <v>592864</v>
      </c>
      <c r="W150" s="3">
        <v>136</v>
      </c>
      <c r="X150" s="3">
        <v>0</v>
      </c>
    </row>
    <row r="151" spans="1:24" hidden="1" x14ac:dyDescent="0.2">
      <c r="A151" s="3" t="s">
        <v>80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70600</v>
      </c>
      <c r="R151" s="3">
        <v>0</v>
      </c>
      <c r="S151" s="3">
        <v>0</v>
      </c>
      <c r="T151" s="3">
        <v>0</v>
      </c>
      <c r="U151" s="3">
        <v>70600</v>
      </c>
      <c r="V151" s="3">
        <v>70560</v>
      </c>
      <c r="W151" s="3">
        <v>40</v>
      </c>
      <c r="X151" s="3">
        <v>0.1</v>
      </c>
    </row>
    <row r="152" spans="1:24" hidden="1" x14ac:dyDescent="0.2">
      <c r="A152" s="3" t="s">
        <v>81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2100000</v>
      </c>
      <c r="R152" s="3">
        <v>0</v>
      </c>
      <c r="S152" s="3">
        <v>0</v>
      </c>
      <c r="T152" s="3">
        <v>0</v>
      </c>
      <c r="U152" s="3">
        <v>2100000</v>
      </c>
      <c r="V152" s="3">
        <v>2092577</v>
      </c>
      <c r="W152" s="3">
        <v>7423</v>
      </c>
      <c r="X152" s="3">
        <v>0.4</v>
      </c>
    </row>
    <row r="153" spans="1:24" hidden="1" x14ac:dyDescent="0.2">
      <c r="A153" s="3" t="s">
        <v>82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1378</v>
      </c>
      <c r="I153" s="3">
        <v>0</v>
      </c>
      <c r="J153" s="3">
        <v>2000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3378</v>
      </c>
      <c r="V153" s="3">
        <v>2682</v>
      </c>
      <c r="W153" s="3">
        <v>696</v>
      </c>
      <c r="X153" s="3">
        <v>26</v>
      </c>
    </row>
    <row r="154" spans="1:24" hidden="1" x14ac:dyDescent="0.2">
      <c r="A154" s="3" t="s">
        <v>83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9421481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9421481</v>
      </c>
      <c r="V154" s="3">
        <v>10000000</v>
      </c>
      <c r="W154" s="3">
        <v>-578519</v>
      </c>
      <c r="X154" s="3">
        <v>-5.8</v>
      </c>
    </row>
    <row r="155" spans="1:24" hidden="1" x14ac:dyDescent="0.2">
      <c r="A155" s="3" t="s">
        <v>84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216634</v>
      </c>
      <c r="R155" s="3">
        <v>0</v>
      </c>
      <c r="S155" s="3">
        <v>0</v>
      </c>
      <c r="T155" s="3">
        <v>124815</v>
      </c>
      <c r="U155" s="3">
        <v>341449</v>
      </c>
      <c r="V155" s="3">
        <v>102873</v>
      </c>
      <c r="W155" s="3">
        <v>238576</v>
      </c>
      <c r="X155" s="3">
        <v>231.9</v>
      </c>
    </row>
    <row r="156" spans="1:24" hidden="1" x14ac:dyDescent="0.2">
      <c r="A156" s="3" t="s">
        <v>85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701500</v>
      </c>
      <c r="R156" s="3">
        <v>0</v>
      </c>
      <c r="S156" s="3">
        <v>0</v>
      </c>
      <c r="T156" s="3">
        <v>0</v>
      </c>
      <c r="U156" s="3">
        <v>701500</v>
      </c>
      <c r="V156" s="3">
        <v>214700</v>
      </c>
      <c r="W156" s="3">
        <v>486800</v>
      </c>
      <c r="X156" s="3">
        <v>226.7</v>
      </c>
    </row>
    <row r="157" spans="1:24" hidden="1" x14ac:dyDescent="0.2">
      <c r="A157" s="3" t="s">
        <v>86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1974500</v>
      </c>
      <c r="R157" s="3">
        <v>0</v>
      </c>
      <c r="S157" s="3">
        <v>0</v>
      </c>
      <c r="T157" s="3">
        <v>0</v>
      </c>
      <c r="U157" s="3">
        <v>1974500</v>
      </c>
      <c r="V157" s="3">
        <v>1866300</v>
      </c>
      <c r="W157" s="3">
        <v>108200</v>
      </c>
      <c r="X157" s="3">
        <v>5.8</v>
      </c>
    </row>
    <row r="158" spans="1:24" hidden="1" x14ac:dyDescent="0.2">
      <c r="A158" s="3" t="s">
        <v>87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16315500</v>
      </c>
      <c r="Q158" s="3">
        <v>0</v>
      </c>
      <c r="R158" s="3">
        <v>0</v>
      </c>
      <c r="S158" s="3">
        <v>0</v>
      </c>
      <c r="T158" s="3">
        <v>175000</v>
      </c>
      <c r="U158" s="3">
        <v>16490500</v>
      </c>
      <c r="V158" s="3">
        <v>9189600</v>
      </c>
      <c r="W158" s="3">
        <v>7300900</v>
      </c>
      <c r="X158" s="3">
        <v>79.400000000000006</v>
      </c>
    </row>
    <row r="159" spans="1:24" hidden="1" x14ac:dyDescent="0.2">
      <c r="A159" s="3" t="s">
        <v>88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5000</v>
      </c>
      <c r="N159" s="3">
        <v>0</v>
      </c>
      <c r="O159" s="3">
        <v>0</v>
      </c>
      <c r="P159" s="3">
        <v>25041028</v>
      </c>
      <c r="Q159" s="3">
        <v>0</v>
      </c>
      <c r="R159" s="3">
        <v>0</v>
      </c>
      <c r="S159" s="3">
        <v>0</v>
      </c>
      <c r="T159" s="3">
        <v>0</v>
      </c>
      <c r="U159" s="3">
        <v>25046028</v>
      </c>
      <c r="V159" s="3">
        <v>20398561</v>
      </c>
      <c r="W159" s="3">
        <v>4647467</v>
      </c>
      <c r="X159" s="3">
        <v>22.8</v>
      </c>
    </row>
    <row r="160" spans="1:24" hidden="1" x14ac:dyDescent="0.2">
      <c r="A160" s="3" t="s">
        <v>89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1696</v>
      </c>
      <c r="L160" s="3">
        <v>0</v>
      </c>
      <c r="M160" s="3">
        <v>0</v>
      </c>
      <c r="N160" s="3">
        <v>4785</v>
      </c>
      <c r="O160" s="3">
        <v>11068</v>
      </c>
      <c r="P160" s="3">
        <v>0</v>
      </c>
      <c r="Q160" s="3">
        <v>182700</v>
      </c>
      <c r="R160" s="3">
        <v>0</v>
      </c>
      <c r="S160" s="3">
        <v>0</v>
      </c>
      <c r="T160" s="3">
        <v>72138</v>
      </c>
      <c r="U160" s="3">
        <v>272387</v>
      </c>
      <c r="V160" s="3">
        <v>240269</v>
      </c>
      <c r="W160" s="3">
        <v>32118</v>
      </c>
      <c r="X160" s="3">
        <v>13.4</v>
      </c>
    </row>
    <row r="161" spans="1:24" hidden="1" x14ac:dyDescent="0.2">
      <c r="A161" s="3" t="s">
        <v>90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8307000</v>
      </c>
      <c r="R161" s="3">
        <v>0</v>
      </c>
      <c r="S161" s="3">
        <v>0</v>
      </c>
      <c r="T161" s="3">
        <v>0</v>
      </c>
      <c r="U161" s="3">
        <v>8307000</v>
      </c>
      <c r="V161" s="3">
        <v>7632000</v>
      </c>
      <c r="W161" s="3">
        <v>675000</v>
      </c>
      <c r="X161" s="3">
        <v>8.8000000000000007</v>
      </c>
    </row>
    <row r="162" spans="1:24" hidden="1" x14ac:dyDescent="0.2">
      <c r="A162" s="3" t="s">
        <v>91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5790000</v>
      </c>
      <c r="Q162" s="3">
        <v>28390000</v>
      </c>
      <c r="R162" s="3">
        <v>0</v>
      </c>
      <c r="S162" s="3">
        <v>0</v>
      </c>
      <c r="T162" s="3">
        <v>1850000</v>
      </c>
      <c r="U162" s="3">
        <v>36030000</v>
      </c>
      <c r="V162" s="3">
        <v>31465000</v>
      </c>
      <c r="W162" s="3">
        <v>4565000</v>
      </c>
      <c r="X162" s="3">
        <v>14.5</v>
      </c>
    </row>
    <row r="163" spans="1:24" hidden="1" x14ac:dyDescent="0.2">
      <c r="A163" s="3" t="s">
        <v>92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2980000</v>
      </c>
      <c r="Q163" s="3">
        <v>0</v>
      </c>
      <c r="R163" s="3">
        <v>0</v>
      </c>
      <c r="S163" s="3">
        <v>0</v>
      </c>
      <c r="T163" s="3">
        <v>1500000</v>
      </c>
      <c r="U163" s="3">
        <v>4480000</v>
      </c>
      <c r="V163" s="3">
        <v>910000</v>
      </c>
      <c r="W163" s="3">
        <v>3570000</v>
      </c>
      <c r="X163" s="3">
        <v>392.3</v>
      </c>
    </row>
    <row r="164" spans="1:24" hidden="1" x14ac:dyDescent="0.2">
      <c r="A164" s="3" t="s">
        <v>93</v>
      </c>
      <c r="B164" s="3">
        <v>0</v>
      </c>
      <c r="C164" s="3">
        <v>0</v>
      </c>
      <c r="D164" s="3">
        <v>70000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768686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838686</v>
      </c>
      <c r="V164" s="3">
        <v>857301</v>
      </c>
      <c r="W164" s="3">
        <v>-18615</v>
      </c>
      <c r="X164" s="3">
        <v>-2.2000000000000002</v>
      </c>
    </row>
    <row r="165" spans="1:24" hidden="1" x14ac:dyDescent="0.2">
      <c r="A165" s="3" t="s">
        <v>94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14696169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14696169</v>
      </c>
      <c r="V165" s="3">
        <v>13321925</v>
      </c>
      <c r="W165" s="3">
        <v>1374244</v>
      </c>
      <c r="X165" s="3">
        <v>10.3</v>
      </c>
    </row>
    <row r="166" spans="1:24" hidden="1" x14ac:dyDescent="0.2">
      <c r="A166" s="3" t="s">
        <v>95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970000</v>
      </c>
      <c r="T166" s="3">
        <v>0</v>
      </c>
      <c r="U166" s="3">
        <v>970000</v>
      </c>
      <c r="V166" s="3">
        <v>551000</v>
      </c>
      <c r="W166" s="3">
        <v>419000</v>
      </c>
      <c r="X166" s="3">
        <v>76</v>
      </c>
    </row>
    <row r="167" spans="1:24" hidden="1" x14ac:dyDescent="0.2">
      <c r="A167" s="3" t="s">
        <v>97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2000000</v>
      </c>
      <c r="T167" s="3">
        <v>0</v>
      </c>
      <c r="U167" s="3">
        <v>2000000</v>
      </c>
      <c r="V167" s="3">
        <v>1101000</v>
      </c>
      <c r="W167" s="3">
        <v>899000</v>
      </c>
      <c r="X167" s="3">
        <v>81.7</v>
      </c>
    </row>
    <row r="168" spans="1:24" hidden="1" x14ac:dyDescent="0.2">
      <c r="A168" s="3" t="s">
        <v>98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3578000</v>
      </c>
      <c r="T168" s="3">
        <v>0</v>
      </c>
      <c r="U168" s="3">
        <v>3578000</v>
      </c>
      <c r="V168" s="3">
        <v>3731000</v>
      </c>
      <c r="W168" s="3">
        <v>-153000</v>
      </c>
      <c r="X168" s="3">
        <v>-4.0999999999999996</v>
      </c>
    </row>
    <row r="169" spans="1:24" hidden="1" x14ac:dyDescent="0.2">
      <c r="A169" s="3" t="s">
        <v>99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1600000</v>
      </c>
      <c r="T169" s="3">
        <v>0</v>
      </c>
      <c r="U169" s="3">
        <v>1600000</v>
      </c>
      <c r="V169" s="3">
        <v>130000</v>
      </c>
      <c r="W169" s="3">
        <v>1470000</v>
      </c>
      <c r="X169" s="3">
        <v>1130.8</v>
      </c>
    </row>
    <row r="170" spans="1:24" hidden="1" x14ac:dyDescent="0.2">
      <c r="A170" s="3" t="s">
        <v>100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4883000</v>
      </c>
      <c r="T170" s="3">
        <v>0</v>
      </c>
      <c r="U170" s="3">
        <v>4883000</v>
      </c>
      <c r="V170" s="3">
        <v>6743500</v>
      </c>
      <c r="W170" s="3">
        <v>-1860500</v>
      </c>
      <c r="X170" s="3">
        <v>-27.6</v>
      </c>
    </row>
    <row r="171" spans="1:24" hidden="1" x14ac:dyDescent="0.2">
      <c r="A171" s="3" t="s">
        <v>101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89110000</v>
      </c>
      <c r="T171" s="3">
        <v>0</v>
      </c>
      <c r="U171" s="3">
        <v>89110000</v>
      </c>
      <c r="V171" s="3">
        <v>92225800</v>
      </c>
      <c r="W171" s="3">
        <v>-3115800</v>
      </c>
      <c r="X171" s="3">
        <v>-3.4</v>
      </c>
    </row>
    <row r="172" spans="1:24" hidden="1" x14ac:dyDescent="0.2"/>
    <row r="173" spans="1:24" hidden="1" x14ac:dyDescent="0.2">
      <c r="A173" s="3" t="s">
        <v>103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3155000</v>
      </c>
      <c r="T173" s="3">
        <v>0</v>
      </c>
      <c r="U173" s="3">
        <v>3155000</v>
      </c>
      <c r="V173" s="3">
        <v>2600000</v>
      </c>
      <c r="W173" s="3">
        <v>555000</v>
      </c>
      <c r="X173" s="3">
        <v>21.3</v>
      </c>
    </row>
    <row r="174" spans="1:24" hidden="1" x14ac:dyDescent="0.2">
      <c r="A174" s="3" t="s">
        <v>104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5370000</v>
      </c>
      <c r="T174" s="3">
        <v>0</v>
      </c>
      <c r="U174" s="3">
        <v>5370000</v>
      </c>
      <c r="V174" s="3">
        <v>12710000</v>
      </c>
      <c r="W174" s="3">
        <v>-7340000</v>
      </c>
      <c r="X174" s="3">
        <v>-57.7</v>
      </c>
    </row>
    <row r="175" spans="1:24" hidden="1" x14ac:dyDescent="0.2"/>
    <row r="176" spans="1:24" hidden="1" x14ac:dyDescent="0.2">
      <c r="A176" s="3" t="s">
        <v>105</v>
      </c>
      <c r="B176" s="3">
        <v>546903</v>
      </c>
      <c r="C176" s="3">
        <v>137715</v>
      </c>
      <c r="D176" s="3">
        <v>5223390</v>
      </c>
      <c r="E176" s="3">
        <v>1489641</v>
      </c>
      <c r="F176" s="3">
        <v>2404381</v>
      </c>
      <c r="G176" s="3">
        <v>1374414</v>
      </c>
      <c r="H176" s="3">
        <v>1004305</v>
      </c>
      <c r="I176" s="3">
        <v>5140694</v>
      </c>
      <c r="J176" s="3">
        <v>1383270</v>
      </c>
      <c r="K176" s="3">
        <v>3616240</v>
      </c>
      <c r="L176" s="3">
        <v>13249773</v>
      </c>
      <c r="M176" s="3">
        <v>696992</v>
      </c>
      <c r="N176" s="3">
        <v>13513640</v>
      </c>
      <c r="O176" s="3">
        <v>47809423</v>
      </c>
      <c r="P176" s="3">
        <v>81819936</v>
      </c>
      <c r="Q176" s="3">
        <v>84538212</v>
      </c>
      <c r="R176" s="3">
        <v>1524827</v>
      </c>
      <c r="S176" s="3">
        <v>112077373</v>
      </c>
      <c r="T176" s="3">
        <v>17109719</v>
      </c>
      <c r="U176" s="3">
        <v>394660848</v>
      </c>
      <c r="V176" s="3">
        <v>356499042</v>
      </c>
      <c r="W176" s="3">
        <v>38161806</v>
      </c>
      <c r="X176" s="3">
        <v>10.7</v>
      </c>
    </row>
  </sheetData>
  <mergeCells count="2">
    <mergeCell ref="A6:X6"/>
    <mergeCell ref="A7:X7"/>
  </mergeCells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027" r:id="rId3" name="Control 3">
          <controlPr defaultSize="0" r:id="rId4">
            <anchor moveWithCells="1">
              <from>
                <xdr:col>0</xdr:col>
                <xdr:colOff>1238250</xdr:colOff>
                <xdr:row>0</xdr:row>
                <xdr:rowOff>0</xdr:rowOff>
              </from>
              <to>
                <xdr:col>0</xdr:col>
                <xdr:colOff>2152650</xdr:colOff>
                <xdr:row>1</xdr:row>
                <xdr:rowOff>66675</xdr:rowOff>
              </to>
            </anchor>
          </controlPr>
        </control>
      </mc:Choice>
      <mc:Fallback>
        <control shapeId="1027" r:id="rId3" name="Control 3"/>
      </mc:Fallback>
    </mc:AlternateContent>
    <mc:AlternateContent xmlns:mc="http://schemas.openxmlformats.org/markup-compatibility/2006">
      <mc:Choice Requires="x14">
        <control shapeId="1026" r:id="rId5" name="Control 2">
          <controlPr defaultSize="0" r:id="rId6">
            <anchor moveWithCells="1">
              <from>
                <xdr:col>0</xdr:col>
                <xdr:colOff>619125</xdr:colOff>
                <xdr:row>0</xdr:row>
                <xdr:rowOff>0</xdr:rowOff>
              </from>
              <to>
                <xdr:col>0</xdr:col>
                <xdr:colOff>1533525</xdr:colOff>
                <xdr:row>1</xdr:row>
                <xdr:rowOff>66675</xdr:rowOff>
              </to>
            </anchor>
          </controlPr>
        </control>
      </mc:Choice>
      <mc:Fallback>
        <control shapeId="1026" r:id="rId5" name="Control 2"/>
      </mc:Fallback>
    </mc:AlternateContent>
    <mc:AlternateContent xmlns:mc="http://schemas.openxmlformats.org/markup-compatibility/2006">
      <mc:Choice Requires="x14">
        <control shapeId="1025" r:id="rId7" name="Control 1">
          <controlPr defaultSize="0" r:id="rId8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66675</xdr:rowOff>
              </to>
            </anchor>
          </controlPr>
        </control>
      </mc:Choice>
      <mc:Fallback>
        <control shapeId="1025" r:id="rId7" name="Control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7601ACD9E1C4AA6BF98501350D386" ma:contentTypeVersion="6" ma:contentTypeDescription="Create a new document." ma:contentTypeScope="" ma:versionID="78e1e3db0c7a732ef1f2a5bc4b9d50a4">
  <xsd:schema xmlns:xsd="http://www.w3.org/2001/XMLSchema" xmlns:xs="http://www.w3.org/2001/XMLSchema" xmlns:p="http://schemas.microsoft.com/office/2006/metadata/properties" xmlns:ns1="http://schemas.microsoft.com/sharepoint/v3" xmlns:ns2="e11e9edf-27ec-4e09-9edf-5b52cecda4bf" targetNamespace="http://schemas.microsoft.com/office/2006/metadata/properties" ma:root="true" ma:fieldsID="565a6cda229e98f4dcea338fe2d2f32f" ns1:_="" ns2:_="">
    <xsd:import namespace="http://schemas.microsoft.com/sharepoint/v3"/>
    <xsd:import namespace="e11e9edf-27ec-4e09-9edf-5b52cecda4bf"/>
    <xsd:element name="properties">
      <xsd:complexType>
        <xsd:sequence>
          <xsd:element name="documentManagement">
            <xsd:complexType>
              <xsd:all>
                <xsd:element ref="ns2:OpportunityType" minOccurs="0"/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e9edf-27ec-4e09-9edf-5b52cecda4bf" elementFormDefault="qualified">
    <xsd:import namespace="http://schemas.microsoft.com/office/2006/documentManagement/types"/>
    <xsd:import namespace="http://schemas.microsoft.com/office/infopath/2007/PartnerControls"/>
    <xsd:element name="OpportunityType" ma:index="8" nillable="true" ma:displayName="Opportunity Type" ma:default="Consulting Services" ma:format="Dropdown" ma:internalName="OpportunityType" ma:readOnly="false">
      <xsd:simpleType>
        <xsd:restriction base="dms:Choice">
          <xsd:enumeration value="Consulting Services"/>
          <xsd:enumeration value="Professional Services"/>
          <xsd:enumeration value="Construction and Maintenance"/>
          <xsd:enumeration value="Goods and Services"/>
          <xsd:enumeration value="Land and Mineral Interests"/>
        </xsd:restriction>
      </xsd:simple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pportunityType xmlns="e11e9edf-27ec-4e09-9edf-5b52cecda4bf">Consulting Services</OpportunityType>
    <_dlc_DocId xmlns="e11e9edf-27ec-4e09-9edf-5b52cecda4bf">S23RUA2WJYU2-286-1576</_dlc_DocId>
    <_dlc_DocIdUrl xmlns="e11e9edf-27ec-4e09-9edf-5b52cecda4bf">
      <Url>http://wvprodshptapp02/whatwedo/fin_invest_info/financial_Info/_layouts/DocIdRedir.aspx?ID=S23RUA2WJYU2-286-1576</Url>
      <Description>S23RUA2WJYU2-286-1576</Description>
    </_dlc_DocIdUrl>
  </documentManagement>
</p:properties>
</file>

<file path=customXml/itemProps1.xml><?xml version="1.0" encoding="utf-8"?>
<ds:datastoreItem xmlns:ds="http://schemas.openxmlformats.org/officeDocument/2006/customXml" ds:itemID="{4E59B52A-7B54-4DD8-9A45-62AFA61C93D3}"/>
</file>

<file path=customXml/itemProps2.xml><?xml version="1.0" encoding="utf-8"?>
<ds:datastoreItem xmlns:ds="http://schemas.openxmlformats.org/officeDocument/2006/customXml" ds:itemID="{FA79142F-323E-4F82-8AF1-085621500770}"/>
</file>

<file path=customXml/itemProps3.xml><?xml version="1.0" encoding="utf-8"?>
<ds:datastoreItem xmlns:ds="http://schemas.openxmlformats.org/officeDocument/2006/customXml" ds:itemID="{44240E38-4BD3-495D-BE0D-4433716B23A6}"/>
</file>

<file path=customXml/itemProps4.xml><?xml version="1.0" encoding="utf-8"?>
<ds:datastoreItem xmlns:ds="http://schemas.openxmlformats.org/officeDocument/2006/customXml" ds:itemID="{2B4015CA-CE29-4BE4-A9F1-AA4383018D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OMF by Acct</vt:lpstr>
      <vt:lpstr>Proposed All Funds Budget by Ac</vt:lpstr>
    </vt:vector>
  </TitlesOfParts>
  <Company>NTTA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Carter, Leigh</dc:creator>
  <cp:lastModifiedBy>Carter, Leigh</cp:lastModifiedBy>
  <dcterms:created xsi:type="dcterms:W3CDTF">2015-12-16T21:04:39Z</dcterms:created>
  <dcterms:modified xsi:type="dcterms:W3CDTF">2015-12-16T21:10:47Z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0x0101003187601ACD9E1C4AA6BF98501350D386</vt:lpwstr>
  </property>
  <property fmtid="{D5CDD505-2E9C-101B-9397-08002B2CF9AE}" pid="3" name="_dlc_DocIdItemGuid">
    <vt:lpwstr>c384ffad-d9e1-4421-974d-b07a32fc6317</vt:lpwstr>
  </property>
</Properties>
</file>