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MF by Acct " sheetId="1" r:id="rId1"/>
    <sheet name="All Funds" sheetId="2" r:id="rId2"/>
    <sheet name="Proposed All Funds Budget by Ac" sheetId="3" state="hidden" r:id="rId3"/>
  </sheets>
  <definedNames>
    <definedName name="_xlfn.IFERROR" hidden="1">#NAME?</definedName>
    <definedName name="_xlfn.SINGLE" hidden="1">#NAME?</definedName>
    <definedName name="_xlnm.Print_Area" localSheetId="1">'All Funds'!$A$1:$W$94</definedName>
    <definedName name="_xlnm.Print_Area" localSheetId="0">'OMF by Acct '!$A$1:$Z$76</definedName>
  </definedNames>
  <calcPr fullCalcOnLoad="1"/>
</workbook>
</file>

<file path=xl/sharedStrings.xml><?xml version="1.0" encoding="utf-8"?>
<sst xmlns="http://schemas.openxmlformats.org/spreadsheetml/2006/main" count="741" uniqueCount="125">
  <si>
    <t>Account</t>
  </si>
  <si>
    <t>Administration</t>
  </si>
  <si>
    <t>Board</t>
  </si>
  <si>
    <t>Cash and Debt Management</t>
  </si>
  <si>
    <t>Finance</t>
  </si>
  <si>
    <t>Financial Planning &amp; Analysis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</si>
  <si>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</si>
  <si>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</si>
  <si>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</si>
  <si>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</si>
  <si>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</si>
  <si>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</si>
  <si>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Strategy and Innovation</t>
  </si>
  <si>
    <t>Collections and Toll Enforcement</t>
  </si>
  <si>
    <t>Customer Service Contact Center</t>
  </si>
  <si>
    <t>Information Technology</t>
  </si>
  <si>
    <t>Maintenance</t>
  </si>
  <si>
    <t>Operations</t>
  </si>
  <si>
    <t>Project Delivery</t>
  </si>
  <si>
    <t>System &amp; Incident Mgmt.</t>
  </si>
  <si>
    <t>FY16
Budget</t>
  </si>
  <si>
    <t>FY15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</si>
  <si>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</si>
  <si>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</si>
  <si>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</si>
  <si>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</si>
  <si>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</si>
  <si>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</si>
  <si>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</si>
  <si>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</si>
  <si>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</si>
  <si>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</si>
  <si>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</si>
  <si>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</si>
  <si>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</si>
  <si>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</si>
  <si>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Meeting Expense - (521101)</t>
  </si>
  <si>
    <t>Consulting/Professional - (521201)</t>
  </si>
  <si>
    <t>Legal Fees - (521202)</t>
  </si>
  <si>
    <t>Auditing Fees - (521203)</t>
  </si>
  <si>
    <t>Trustee Fees - (521204)</t>
  </si>
  <si>
    <t>Rating Agency Fees - (521205)</t>
  </si>
  <si>
    <t>Remarketing/Loc Provider Fees - (521206)</t>
  </si>
  <si>
    <t>Traffic Engineering Fees - (521207)</t>
  </si>
  <si>
    <t>Police Services (DPS) - (521208)</t>
  </si>
  <si>
    <t>Armored Car Services - (521209)</t>
  </si>
  <si>
    <t>Outside Maintenance Services - (521212)</t>
  </si>
  <si>
    <t>General Engineering - (521213)</t>
  </si>
  <si>
    <t>Consulting/Profess Serv Tech - (521301)</t>
  </si>
  <si>
    <t>Landscaping - (522202)</t>
  </si>
  <si>
    <t>Signing Expense - (522203)</t>
  </si>
  <si>
    <t>Pavement Markings - (522204)</t>
  </si>
  <si>
    <t>Pavement &amp; Shoulders - (522205)</t>
  </si>
  <si>
    <t>Bridge Repairs - (522206)</t>
  </si>
  <si>
    <t>Rentals - Land - (522301)</t>
  </si>
  <si>
    <t>Rentals - Equipment - (522302)</t>
  </si>
  <si>
    <t>Insurance Expense - Other - (523101)</t>
  </si>
  <si>
    <t>Postage - (523201)</t>
  </si>
  <si>
    <t>Telecommunications - (523202)</t>
  </si>
  <si>
    <t>Recruitment - (523301)</t>
  </si>
  <si>
    <t>Public Information Fees - (523203)</t>
  </si>
  <si>
    <t>Magazine and Newspaper - (523302)</t>
  </si>
  <si>
    <t>Television &amp; Radio - (523303)</t>
  </si>
  <si>
    <t>Promotional Expenses - (523304)</t>
  </si>
  <si>
    <t>Employee Appreciation - (523305)</t>
  </si>
  <si>
    <t>Printing and Photographic - (523401)</t>
  </si>
  <si>
    <t>Maps &amp; Pamphlets - (523402)</t>
  </si>
  <si>
    <t>Travel - (523501)</t>
  </si>
  <si>
    <t>Dues &amp; Subscriptions - (523601)</t>
  </si>
  <si>
    <t>Education and Training - (523701)</t>
  </si>
  <si>
    <t>Licenses - (523801)</t>
  </si>
  <si>
    <t>Temporary Contract Labor - (523851)</t>
  </si>
  <si>
    <t>Liability Claims - (523902)</t>
  </si>
  <si>
    <t>Office Supplies - (531101)</t>
  </si>
  <si>
    <t>Other Materials and Supplies - (531102)</t>
  </si>
  <si>
    <t>Mobile Equipment Expense - (531103)</t>
  </si>
  <si>
    <t>Freight and Express - (531105)</t>
  </si>
  <si>
    <t>Electronic Supplies - (531106)</t>
  </si>
  <si>
    <t>Motor Fuel Expense - (531107)</t>
  </si>
  <si>
    <t>Water - (531211)</t>
  </si>
  <si>
    <t>Gas - (531221)</t>
  </si>
  <si>
    <t>Electricity - (531231)</t>
  </si>
  <si>
    <t>Books &amp; Periodicals - (531401)</t>
  </si>
  <si>
    <t>Inven for resale(toll tags) - (531501)</t>
  </si>
  <si>
    <t>Small Tools and Shop Supplies - (531601)</t>
  </si>
  <si>
    <t>Machinery - (531611)</t>
  </si>
  <si>
    <t>Vehicles - (531621)</t>
  </si>
  <si>
    <t>Computers - (531641)</t>
  </si>
  <si>
    <t>Software - (531651)</t>
  </si>
  <si>
    <t>Uniforms - (531701)</t>
  </si>
  <si>
    <t>Building Improvements - (541302)</t>
  </si>
  <si>
    <t>Infrastructure Rdway/Hwy/Bridg - (541401)</t>
  </si>
  <si>
    <t>Infrastructure - Other - (541403)</t>
  </si>
  <si>
    <t>Bank Charges - (573001)</t>
  </si>
  <si>
    <t>Credit Card Fees - (573002)</t>
  </si>
  <si>
    <t>Deferred Charges (153001)</t>
  </si>
  <si>
    <t>Contingency-Restricted - (579002)</t>
  </si>
  <si>
    <t>Right-of-Way (06)</t>
  </si>
  <si>
    <t>Administration (01)</t>
  </si>
  <si>
    <t>Planning (02)</t>
  </si>
  <si>
    <t>Design (03)</t>
  </si>
  <si>
    <t>Construction (04)</t>
  </si>
  <si>
    <t>Software (05)</t>
  </si>
  <si>
    <t>Equipment/Hardware (05)</t>
  </si>
  <si>
    <t>Other (176999)</t>
  </si>
  <si>
    <t>Totals</t>
  </si>
  <si>
    <t>Salaries &amp; Benefits</t>
  </si>
  <si>
    <t>FY17
Budget</t>
  </si>
  <si>
    <t>Accounting</t>
  </si>
  <si>
    <t>Contact Center and Collections</t>
  </si>
  <si>
    <t>Customer Care</t>
  </si>
  <si>
    <t>FY18
Budget</t>
  </si>
  <si>
    <t>Consulting &amp; Professional Services</t>
  </si>
  <si>
    <t>Business &amp; Marketing</t>
  </si>
  <si>
    <t>Administrative</t>
  </si>
  <si>
    <t>360 Tollway</t>
  </si>
  <si>
    <t>Finance - (10511)</t>
  </si>
  <si>
    <t>Cash and Debt Management - (10531)</t>
  </si>
  <si>
    <t>10520</t>
  </si>
  <si>
    <t>Project Delivery - (20510)</t>
  </si>
  <si>
    <t>TSA</t>
  </si>
  <si>
    <t>FY2018
Budget</t>
  </si>
  <si>
    <t>FY2017
Budget</t>
  </si>
  <si>
    <t>Check Figure</t>
  </si>
  <si>
    <t>Treasury Management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</si>
</sst>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0.0%"/>
    <numFmt numFmtId="170" formatCode="&quot;Account&quot;"/>
    <numFmt numFmtId="171" formatCode="#,##0.0&quot;%&quot;;&quot;(&quot;#,##0.0&quot;%)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7"/>
      <color indexed="9"/>
      <name val="Microsoft Sans Serif"/>
      <family val="2"/>
    </font>
    <font>
      <sz val="8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8"/>
      <name val="Microsoft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theme="1"/>
      <name val="Calibri"/>
      <family val="2"/>
    </font>
    <font>
      <b/>
      <sz val="7"/>
      <color rgb="FFFFFFFF"/>
      <name val="Microsoft Sans Serif"/>
      <family val="2"/>
    </font>
    <font>
      <sz val="10"/>
      <color rgb="FF000000"/>
      <name val="Calibri"/>
      <family val="2"/>
    </font>
    <font>
      <b/>
      <sz val="7"/>
      <color rgb="FF000000"/>
      <name val="Microsoft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1" fillId="33" borderId="0" xfId="0" applyFont="1" applyFill="1" applyAlignment="1">
      <alignment vertical="top" wrapText="1"/>
    </xf>
    <xf numFmtId="0" fontId="52" fillId="0" borderId="0" xfId="0" applyFont="1" applyFill="1" applyAlignment="1">
      <alignment/>
    </xf>
    <xf numFmtId="0" fontId="52" fillId="34" borderId="0" xfId="0" applyFont="1" applyFill="1" applyAlignment="1">
      <alignment/>
    </xf>
    <xf numFmtId="0" fontId="52" fillId="33" borderId="0" xfId="0" applyFont="1" applyFill="1" applyAlignment="1">
      <alignment/>
    </xf>
    <xf numFmtId="164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64" fontId="52" fillId="33" borderId="0" xfId="42" applyNumberFormat="1" applyFont="1" applyFill="1" applyAlignment="1">
      <alignment/>
    </xf>
    <xf numFmtId="165" fontId="5" fillId="0" borderId="0" xfId="0" applyNumberFormat="1" applyFont="1" applyFill="1" applyBorder="1" applyAlignment="1" quotePrefix="1">
      <alignment horizontal="left" wrapText="1"/>
    </xf>
    <xf numFmtId="165" fontId="5" fillId="0" borderId="0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wrapText="1"/>
    </xf>
    <xf numFmtId="165" fontId="53" fillId="33" borderId="10" xfId="0" applyNumberFormat="1" applyFont="1" applyFill="1" applyBorder="1" applyAlignment="1">
      <alignment horizontal="left"/>
    </xf>
    <xf numFmtId="166" fontId="53" fillId="33" borderId="10" xfId="0" applyNumberFormat="1" applyFont="1" applyFill="1" applyBorder="1" applyAlignment="1">
      <alignment horizontal="right"/>
    </xf>
    <xf numFmtId="165" fontId="53" fillId="33" borderId="0" xfId="0" applyNumberFormat="1" applyFont="1" applyFill="1" applyAlignment="1" quotePrefix="1">
      <alignment horizontal="left"/>
    </xf>
    <xf numFmtId="167" fontId="53" fillId="33" borderId="0" xfId="0" applyNumberFormat="1" applyFont="1" applyFill="1" applyAlignment="1">
      <alignment horizontal="right"/>
    </xf>
    <xf numFmtId="167" fontId="54" fillId="33" borderId="0" xfId="0" applyNumberFormat="1" applyFont="1" applyFill="1" applyAlignment="1">
      <alignment horizontal="right"/>
    </xf>
    <xf numFmtId="168" fontId="53" fillId="33" borderId="0" xfId="0" applyNumberFormat="1" applyFont="1" applyFill="1" applyAlignment="1">
      <alignment horizontal="right"/>
    </xf>
    <xf numFmtId="6" fontId="52" fillId="34" borderId="0" xfId="0" applyNumberFormat="1" applyFont="1" applyFill="1" applyAlignment="1">
      <alignment/>
    </xf>
    <xf numFmtId="166" fontId="53" fillId="33" borderId="0" xfId="0" applyNumberFormat="1" applyFont="1" applyFill="1" applyAlignment="1">
      <alignment horizontal="right"/>
    </xf>
    <xf numFmtId="38" fontId="52" fillId="0" borderId="0" xfId="42" applyNumberFormat="1" applyFont="1" applyFill="1" applyAlignment="1">
      <alignment horizontal="right"/>
    </xf>
    <xf numFmtId="166" fontId="54" fillId="33" borderId="0" xfId="0" applyNumberFormat="1" applyFont="1" applyFill="1" applyAlignment="1">
      <alignment horizontal="right"/>
    </xf>
    <xf numFmtId="165" fontId="51" fillId="33" borderId="0" xfId="0" applyNumberFormat="1" applyFont="1" applyFill="1" applyAlignment="1">
      <alignment horizontal="left" vertical="center"/>
    </xf>
    <xf numFmtId="165" fontId="51" fillId="33" borderId="0" xfId="0" applyNumberFormat="1" applyFont="1" applyFill="1" applyAlignment="1">
      <alignment horizontal="right" vertical="center"/>
    </xf>
    <xf numFmtId="167" fontId="51" fillId="33" borderId="11" xfId="0" applyNumberFormat="1" applyFont="1" applyFill="1" applyBorder="1" applyAlignment="1" quotePrefix="1">
      <alignment horizontal="left" vertical="center"/>
    </xf>
    <xf numFmtId="167" fontId="51" fillId="33" borderId="11" xfId="0" applyNumberFormat="1" applyFont="1" applyFill="1" applyBorder="1" applyAlignment="1">
      <alignment horizontal="right" vertical="center"/>
    </xf>
    <xf numFmtId="169" fontId="51" fillId="33" borderId="11" xfId="57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52" fillId="35" borderId="0" xfId="0" applyFont="1" applyFill="1" applyAlignment="1">
      <alignment/>
    </xf>
    <xf numFmtId="167" fontId="52" fillId="35" borderId="0" xfId="0" applyNumberFormat="1" applyFont="1" applyFill="1" applyAlignment="1">
      <alignment/>
    </xf>
    <xf numFmtId="6" fontId="52" fillId="35" borderId="0" xfId="0" applyNumberFormat="1" applyFont="1" applyFill="1" applyAlignment="1">
      <alignment/>
    </xf>
    <xf numFmtId="0" fontId="55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170" fontId="9" fillId="0" borderId="0" xfId="0" applyNumberFormat="1" applyFont="1" applyFill="1" applyBorder="1" applyAlignment="1" quotePrefix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center" wrapText="1"/>
    </xf>
    <xf numFmtId="165" fontId="9" fillId="0" borderId="0" xfId="0" applyNumberFormat="1" applyFont="1" applyFill="1" applyBorder="1" applyAlignment="1" quotePrefix="1">
      <alignment horizontal="right" wrapText="1"/>
    </xf>
    <xf numFmtId="165" fontId="9" fillId="0" borderId="0" xfId="0" applyNumberFormat="1" applyFont="1" applyFill="1" applyBorder="1" applyAlignment="1" quotePrefix="1">
      <alignment horizontal="right" vertical="top" wrapText="1"/>
    </xf>
    <xf numFmtId="0" fontId="10" fillId="0" borderId="0" xfId="0" applyFont="1" applyFill="1" applyBorder="1" applyAlignment="1">
      <alignment/>
    </xf>
    <xf numFmtId="165" fontId="56" fillId="33" borderId="10" xfId="0" applyNumberFormat="1" applyFont="1" applyFill="1" applyBorder="1" applyAlignment="1">
      <alignment horizontal="left"/>
    </xf>
    <xf numFmtId="166" fontId="56" fillId="33" borderId="10" xfId="0" applyNumberFormat="1" applyFont="1" applyFill="1" applyBorder="1" applyAlignment="1">
      <alignment horizontal="right"/>
    </xf>
    <xf numFmtId="165" fontId="56" fillId="33" borderId="0" xfId="0" applyNumberFormat="1" applyFont="1" applyFill="1" applyAlignment="1" quotePrefix="1">
      <alignment horizontal="left"/>
    </xf>
    <xf numFmtId="167" fontId="56" fillId="33" borderId="0" xfId="0" applyNumberFormat="1" applyFont="1" applyFill="1" applyAlignment="1">
      <alignment horizontal="right"/>
    </xf>
    <xf numFmtId="6" fontId="56" fillId="33" borderId="0" xfId="0" applyNumberFormat="1" applyFont="1" applyFill="1" applyAlignment="1">
      <alignment horizontal="right"/>
    </xf>
    <xf numFmtId="168" fontId="56" fillId="33" borderId="0" xfId="0" applyNumberFormat="1" applyFont="1" applyFill="1" applyAlignment="1">
      <alignment horizontal="right"/>
    </xf>
    <xf numFmtId="166" fontId="56" fillId="33" borderId="0" xfId="0" applyNumberFormat="1" applyFont="1" applyFill="1" applyAlignment="1">
      <alignment horizontal="right"/>
    </xf>
    <xf numFmtId="38" fontId="56" fillId="33" borderId="0" xfId="0" applyNumberFormat="1" applyFont="1" applyFill="1" applyAlignment="1">
      <alignment horizontal="right"/>
    </xf>
    <xf numFmtId="168" fontId="57" fillId="2" borderId="0" xfId="0" applyNumberFormat="1" applyFont="1" applyFill="1" applyAlignment="1">
      <alignment horizontal="right"/>
    </xf>
    <xf numFmtId="0" fontId="49" fillId="2" borderId="0" xfId="0" applyFont="1" applyFill="1" applyAlignment="1">
      <alignment/>
    </xf>
    <xf numFmtId="0" fontId="0" fillId="2" borderId="0" xfId="0" applyFill="1" applyAlignment="1">
      <alignment/>
    </xf>
    <xf numFmtId="165" fontId="57" fillId="33" borderId="0" xfId="0" applyNumberFormat="1" applyFont="1" applyFill="1" applyAlignment="1">
      <alignment horizontal="left" vertical="center"/>
    </xf>
    <xf numFmtId="165" fontId="57" fillId="33" borderId="0" xfId="0" applyNumberFormat="1" applyFont="1" applyFill="1" applyAlignment="1">
      <alignment horizontal="right" vertical="center"/>
    </xf>
    <xf numFmtId="171" fontId="57" fillId="33" borderId="12" xfId="0" applyNumberFormat="1" applyFont="1" applyFill="1" applyBorder="1" applyAlignment="1">
      <alignment horizontal="right" vertical="center"/>
    </xf>
    <xf numFmtId="167" fontId="57" fillId="33" borderId="11" xfId="0" applyNumberFormat="1" applyFont="1" applyFill="1" applyBorder="1" applyAlignment="1" quotePrefix="1">
      <alignment horizontal="left" vertical="center"/>
    </xf>
    <xf numFmtId="167" fontId="57" fillId="33" borderId="11" xfId="0" applyNumberFormat="1" applyFont="1" applyFill="1" applyBorder="1" applyAlignment="1">
      <alignment horizontal="right" vertical="center"/>
    </xf>
    <xf numFmtId="168" fontId="57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8" fillId="34" borderId="0" xfId="0" applyFont="1" applyFill="1" applyAlignment="1">
      <alignment/>
    </xf>
    <xf numFmtId="170" fontId="59" fillId="36" borderId="0" xfId="0" applyNumberFormat="1" applyFont="1" applyFill="1" applyAlignment="1" quotePrefix="1">
      <alignment horizontal="left"/>
    </xf>
    <xf numFmtId="165" fontId="59" fillId="36" borderId="0" xfId="0" applyNumberFormat="1" applyFont="1" applyFill="1" applyAlignment="1" quotePrefix="1">
      <alignment horizontal="center"/>
    </xf>
    <xf numFmtId="165" fontId="59" fillId="36" borderId="0" xfId="0" applyNumberFormat="1" applyFont="1" applyFill="1" applyAlignment="1" quotePrefix="1">
      <alignment horizontal="right" wrapText="1"/>
    </xf>
    <xf numFmtId="165" fontId="59" fillId="36" borderId="0" xfId="0" applyNumberFormat="1" applyFont="1" applyFill="1" applyAlignment="1" quotePrefix="1">
      <alignment horizontal="right" vertical="top" wrapText="1"/>
    </xf>
    <xf numFmtId="171" fontId="56" fillId="33" borderId="0" xfId="0" applyNumberFormat="1" applyFont="1" applyFill="1" applyAlignment="1">
      <alignment horizontal="right"/>
    </xf>
    <xf numFmtId="171" fontId="57" fillId="33" borderId="0" xfId="0" applyNumberFormat="1" applyFont="1" applyFill="1" applyAlignment="1">
      <alignment horizontal="right" vertical="center"/>
    </xf>
    <xf numFmtId="171" fontId="57" fillId="33" borderId="11" xfId="0" applyNumberFormat="1" applyFont="1" applyFill="1" applyBorder="1" applyAlignment="1">
      <alignment horizontal="right" vertical="center"/>
    </xf>
    <xf numFmtId="166" fontId="15" fillId="33" borderId="10" xfId="0" applyNumberFormat="1" applyFont="1" applyFill="1" applyBorder="1" applyAlignment="1">
      <alignment horizontal="right"/>
    </xf>
    <xf numFmtId="167" fontId="15" fillId="33" borderId="0" xfId="0" applyNumberFormat="1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167" fontId="51" fillId="0" borderId="11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wrapText="1"/>
    </xf>
    <xf numFmtId="0" fontId="55" fillId="37" borderId="0" xfId="0" applyFont="1" applyFill="1" applyAlignment="1">
      <alignment vertical="top" wrapText="1"/>
    </xf>
    <xf numFmtId="0" fontId="0" fillId="37" borderId="0" xfId="0" applyFill="1" applyAlignment="1">
      <alignment wrapText="1"/>
    </xf>
    <xf numFmtId="165" fontId="9" fillId="37" borderId="0" xfId="0" applyNumberFormat="1" applyFont="1" applyFill="1" applyBorder="1" applyAlignment="1" quotePrefix="1">
      <alignment horizontal="center" wrapText="1"/>
    </xf>
    <xf numFmtId="165" fontId="15" fillId="33" borderId="10" xfId="0" applyNumberFormat="1" applyFont="1" applyFill="1" applyBorder="1" applyAlignment="1">
      <alignment horizontal="left"/>
    </xf>
    <xf numFmtId="166" fontId="15" fillId="37" borderId="10" xfId="0" applyNumberFormat="1" applyFont="1" applyFill="1" applyBorder="1" applyAlignment="1">
      <alignment horizontal="right"/>
    </xf>
    <xf numFmtId="165" fontId="15" fillId="33" borderId="0" xfId="0" applyNumberFormat="1" applyFont="1" applyFill="1" applyAlignment="1" quotePrefix="1">
      <alignment horizontal="left"/>
    </xf>
    <xf numFmtId="167" fontId="15" fillId="37" borderId="0" xfId="0" applyNumberFormat="1" applyFont="1" applyFill="1" applyAlignment="1">
      <alignment horizontal="right"/>
    </xf>
    <xf numFmtId="166" fontId="15" fillId="33" borderId="0" xfId="0" applyNumberFormat="1" applyFont="1" applyFill="1" applyAlignment="1">
      <alignment horizontal="right"/>
    </xf>
    <xf numFmtId="166" fontId="15" fillId="37" borderId="0" xfId="0" applyNumberFormat="1" applyFont="1" applyFill="1" applyAlignment="1">
      <alignment horizontal="right"/>
    </xf>
    <xf numFmtId="38" fontId="15" fillId="33" borderId="0" xfId="0" applyNumberFormat="1" applyFont="1" applyFill="1" applyAlignment="1">
      <alignment horizontal="right"/>
    </xf>
    <xf numFmtId="165" fontId="9" fillId="2" borderId="0" xfId="0" applyNumberFormat="1" applyFont="1" applyFill="1" applyAlignment="1" quotePrefix="1">
      <alignment horizontal="left"/>
    </xf>
    <xf numFmtId="166" fontId="9" fillId="2" borderId="0" xfId="0" applyNumberFormat="1" applyFont="1" applyFill="1" applyAlignment="1">
      <alignment horizontal="right"/>
    </xf>
    <xf numFmtId="165" fontId="15" fillId="0" borderId="0" xfId="0" applyNumberFormat="1" applyFont="1" applyFill="1" applyAlignment="1" quotePrefix="1">
      <alignment horizontal="left"/>
    </xf>
    <xf numFmtId="165" fontId="9" fillId="33" borderId="0" xfId="0" applyNumberFormat="1" applyFont="1" applyFill="1" applyAlignment="1">
      <alignment horizontal="left" vertical="center"/>
    </xf>
    <xf numFmtId="165" fontId="9" fillId="33" borderId="0" xfId="0" applyNumberFormat="1" applyFont="1" applyFill="1" applyAlignment="1">
      <alignment horizontal="right" vertical="center"/>
    </xf>
    <xf numFmtId="165" fontId="9" fillId="37" borderId="0" xfId="0" applyNumberFormat="1" applyFont="1" applyFill="1" applyAlignment="1">
      <alignment horizontal="right" vertical="center"/>
    </xf>
    <xf numFmtId="167" fontId="9" fillId="33" borderId="11" xfId="0" applyNumberFormat="1" applyFont="1" applyFill="1" applyBorder="1" applyAlignment="1" quotePrefix="1">
      <alignment horizontal="left" vertical="center"/>
    </xf>
    <xf numFmtId="167" fontId="9" fillId="33" borderId="1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7" fillId="37" borderId="0" xfId="0" applyFont="1" applyFill="1" applyAlignment="1">
      <alignment/>
    </xf>
    <xf numFmtId="0" fontId="0" fillId="37" borderId="0" xfId="0" applyFill="1" applyAlignment="1">
      <alignment/>
    </xf>
    <xf numFmtId="165" fontId="59" fillId="36" borderId="0" xfId="0" applyNumberFormat="1" applyFont="1" applyFill="1" applyAlignment="1" quotePrefix="1">
      <alignment horizontal="center" wrapText="1"/>
    </xf>
    <xf numFmtId="165" fontId="59" fillId="37" borderId="0" xfId="0" applyNumberFormat="1" applyFont="1" applyFill="1" applyAlignment="1" quotePrefix="1">
      <alignment horizontal="center" wrapText="1"/>
    </xf>
    <xf numFmtId="166" fontId="56" fillId="37" borderId="10" xfId="0" applyNumberFormat="1" applyFont="1" applyFill="1" applyBorder="1" applyAlignment="1">
      <alignment horizontal="right"/>
    </xf>
    <xf numFmtId="167" fontId="56" fillId="37" borderId="0" xfId="0" applyNumberFormat="1" applyFont="1" applyFill="1" applyAlignment="1">
      <alignment horizontal="right"/>
    </xf>
    <xf numFmtId="166" fontId="56" fillId="37" borderId="0" xfId="0" applyNumberFormat="1" applyFont="1" applyFill="1" applyAlignment="1">
      <alignment horizontal="right"/>
    </xf>
    <xf numFmtId="165" fontId="57" fillId="37" borderId="0" xfId="0" applyNumberFormat="1" applyFont="1" applyFill="1" applyAlignment="1">
      <alignment horizontal="right" vertical="center"/>
    </xf>
    <xf numFmtId="167" fontId="57" fillId="37" borderId="11" xfId="0" applyNumberFormat="1" applyFont="1" applyFill="1" applyBorder="1" applyAlignment="1">
      <alignment horizontal="right" vertical="center"/>
    </xf>
    <xf numFmtId="167" fontId="52" fillId="33" borderId="0" xfId="0" applyNumberFormat="1" applyFont="1" applyFill="1" applyAlignment="1">
      <alignment/>
    </xf>
    <xf numFmtId="165" fontId="59" fillId="36" borderId="0" xfId="0" applyNumberFormat="1" applyFont="1" applyFill="1" applyAlignment="1" quotePrefix="1">
      <alignment horizontal="right"/>
    </xf>
    <xf numFmtId="170" fontId="59" fillId="36" borderId="0" xfId="0" applyNumberFormat="1" applyFont="1" applyFill="1" applyAlignment="1" quotePrefix="1">
      <alignment horizontal="left" wrapText="1"/>
    </xf>
    <xf numFmtId="0" fontId="59" fillId="36" borderId="0" xfId="0" applyNumberFormat="1" applyFont="1" applyFill="1" applyAlignment="1" quotePrefix="1">
      <alignment horizontal="right" wrapText="1"/>
    </xf>
    <xf numFmtId="0" fontId="52" fillId="34" borderId="0" xfId="0" applyFont="1" applyFill="1" applyAlignment="1">
      <alignment wrapText="1"/>
    </xf>
    <xf numFmtId="0" fontId="60" fillId="33" borderId="0" xfId="0" applyFont="1" applyFill="1" applyAlignment="1">
      <alignment wrapText="1"/>
    </xf>
    <xf numFmtId="0" fontId="0" fillId="33" borderId="0" xfId="0" applyFill="1" applyAlignment="1">
      <alignment/>
    </xf>
    <xf numFmtId="170" fontId="61" fillId="33" borderId="0" xfId="0" applyNumberFormat="1" applyFont="1" applyFill="1" applyAlignment="1" quotePrefix="1">
      <alignment horizontal="left" wrapText="1"/>
    </xf>
    <xf numFmtId="165" fontId="61" fillId="33" borderId="0" xfId="0" applyNumberFormat="1" applyFont="1" applyFill="1" applyAlignment="1" quotePrefix="1">
      <alignment horizontal="center" wrapText="1"/>
    </xf>
    <xf numFmtId="165" fontId="61" fillId="33" borderId="0" xfId="0" applyNumberFormat="1" applyFont="1" applyFill="1" applyAlignment="1" quotePrefix="1">
      <alignment horizontal="right" wrapText="1"/>
    </xf>
    <xf numFmtId="165" fontId="61" fillId="33" borderId="0" xfId="0" applyNumberFormat="1" applyFont="1" applyFill="1" applyAlignment="1" quotePrefix="1">
      <alignment horizontal="right" vertical="top" wrapText="1"/>
    </xf>
    <xf numFmtId="165" fontId="56" fillId="33" borderId="10" xfId="0" applyNumberFormat="1" applyFont="1" applyFill="1" applyBorder="1" applyAlignment="1">
      <alignment horizontal="left" wrapText="1"/>
    </xf>
    <xf numFmtId="166" fontId="56" fillId="33" borderId="10" xfId="0" applyNumberFormat="1" applyFont="1" applyFill="1" applyBorder="1" applyAlignment="1">
      <alignment horizontal="right" wrapText="1"/>
    </xf>
    <xf numFmtId="165" fontId="56" fillId="33" borderId="0" xfId="0" applyNumberFormat="1" applyFont="1" applyFill="1" applyAlignment="1" quotePrefix="1">
      <alignment horizontal="left" wrapText="1"/>
    </xf>
    <xf numFmtId="167" fontId="56" fillId="33" borderId="0" xfId="0" applyNumberFormat="1" applyFont="1" applyFill="1" applyAlignment="1">
      <alignment horizontal="right" wrapText="1"/>
    </xf>
    <xf numFmtId="171" fontId="56" fillId="33" borderId="0" xfId="0" applyNumberFormat="1" applyFont="1" applyFill="1" applyAlignment="1">
      <alignment horizontal="right" wrapText="1"/>
    </xf>
    <xf numFmtId="166" fontId="56" fillId="33" borderId="0" xfId="0" applyNumberFormat="1" applyFont="1" applyFill="1" applyAlignment="1">
      <alignment horizontal="right" wrapText="1"/>
    </xf>
    <xf numFmtId="165" fontId="57" fillId="33" borderId="0" xfId="0" applyNumberFormat="1" applyFont="1" applyFill="1" applyAlignment="1">
      <alignment horizontal="left" vertical="center" wrapText="1"/>
    </xf>
    <xf numFmtId="165" fontId="57" fillId="33" borderId="0" xfId="0" applyNumberFormat="1" applyFont="1" applyFill="1" applyAlignment="1">
      <alignment horizontal="right" vertical="center" wrapText="1"/>
    </xf>
    <xf numFmtId="171" fontId="57" fillId="33" borderId="0" xfId="0" applyNumberFormat="1" applyFont="1" applyFill="1" applyAlignment="1">
      <alignment horizontal="right" vertical="center" wrapText="1"/>
    </xf>
    <xf numFmtId="167" fontId="57" fillId="33" borderId="11" xfId="0" applyNumberFormat="1" applyFont="1" applyFill="1" applyBorder="1" applyAlignment="1" quotePrefix="1">
      <alignment horizontal="left" vertical="center" wrapText="1"/>
    </xf>
    <xf numFmtId="167" fontId="57" fillId="33" borderId="11" xfId="0" applyNumberFormat="1" applyFont="1" applyFill="1" applyBorder="1" applyAlignment="1">
      <alignment horizontal="right" vertical="center" wrapText="1"/>
    </xf>
    <xf numFmtId="171" fontId="57" fillId="33" borderId="11" xfId="0" applyNumberFormat="1" applyFont="1" applyFill="1" applyBorder="1" applyAlignment="1">
      <alignment horizontal="right" vertical="center" wrapText="1"/>
    </xf>
    <xf numFmtId="0" fontId="52" fillId="38" borderId="0" xfId="0" applyFont="1" applyFill="1" applyAlignment="1">
      <alignment/>
    </xf>
    <xf numFmtId="167" fontId="52" fillId="38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Border="1" applyAlignment="1">
      <alignment/>
    </xf>
    <xf numFmtId="0" fontId="49" fillId="35" borderId="0" xfId="0" applyFont="1" applyFill="1" applyAlignment="1">
      <alignment/>
    </xf>
    <xf numFmtId="0" fontId="6" fillId="35" borderId="0" xfId="0" applyFont="1" applyFill="1" applyBorder="1" applyAlignment="1">
      <alignment wrapText="1"/>
    </xf>
    <xf numFmtId="0" fontId="52" fillId="35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5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267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FY2018</a:t>
          </a:r>
        </a:p>
      </xdr:txBody>
    </xdr:sp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30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4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6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8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8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6" sqref="B26"/>
    </sheetView>
  </sheetViews>
  <sheetFormatPr defaultColWidth="9.140625" defaultRowHeight="15" outlineLevelRow="1"/>
  <cols>
    <col min="1" max="1" width="3.140625" style="125" customWidth="1"/>
    <col min="2" max="2" width="31.140625" style="32" bestFit="1" customWidth="1"/>
    <col min="3" max="4" width="12.28125" style="32" customWidth="1"/>
    <col min="5" max="5" width="8.57421875" style="32" customWidth="1"/>
    <col min="6" max="6" width="11.140625" style="32" customWidth="1"/>
    <col min="7" max="10" width="10.140625" style="32" customWidth="1"/>
    <col min="11" max="11" width="12.140625" style="32" customWidth="1"/>
    <col min="12" max="12" width="12.7109375" style="32" customWidth="1" collapsed="1"/>
    <col min="13" max="13" width="11.7109375" style="32" customWidth="1"/>
    <col min="14" max="14" width="11.140625" style="92" hidden="1" customWidth="1"/>
    <col min="15" max="15" width="12.421875" style="32" customWidth="1"/>
    <col min="16" max="16" width="9.140625" style="92" hidden="1" customWidth="1"/>
    <col min="17" max="17" width="12.421875" style="32" customWidth="1"/>
    <col min="18" max="18" width="12.28125" style="32" customWidth="1"/>
    <col min="19" max="19" width="14.421875" style="32" customWidth="1"/>
    <col min="20" max="20" width="12.421875" style="32" customWidth="1"/>
    <col min="21" max="21" width="12.00390625" style="32" customWidth="1"/>
    <col min="22" max="23" width="12.140625" style="32" bestFit="1" customWidth="1"/>
    <col min="24" max="24" width="11.57421875" style="32" customWidth="1"/>
    <col min="25" max="25" width="10.140625" style="32" bestFit="1" customWidth="1"/>
    <col min="26" max="16384" width="9.140625" style="32" customWidth="1"/>
  </cols>
  <sheetData>
    <row r="1" s="125" customFormat="1" ht="15"/>
    <row r="2" spans="2:26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71"/>
      <c r="O2" s="31"/>
      <c r="P2" s="71"/>
      <c r="Q2" s="31"/>
      <c r="R2" s="31"/>
      <c r="S2" s="31"/>
      <c r="T2" s="31"/>
      <c r="U2" s="31"/>
      <c r="V2" s="31"/>
      <c r="W2" s="125"/>
      <c r="X2" s="125"/>
      <c r="Y2" s="125"/>
      <c r="Z2" s="125"/>
    </row>
    <row r="3" spans="2:26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71"/>
      <c r="O3" s="31"/>
      <c r="P3" s="71"/>
      <c r="Q3" s="31"/>
      <c r="R3" s="31"/>
      <c r="S3" s="31"/>
      <c r="T3" s="31"/>
      <c r="U3" s="31"/>
      <c r="V3" s="31"/>
      <c r="W3" s="125"/>
      <c r="X3" s="125"/>
      <c r="Y3" s="125"/>
      <c r="Z3" s="125"/>
    </row>
    <row r="4" spans="2:26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71"/>
      <c r="O4" s="31"/>
      <c r="P4" s="71"/>
      <c r="Q4" s="31"/>
      <c r="R4" s="31"/>
      <c r="S4" s="31"/>
      <c r="T4" s="31"/>
      <c r="U4" s="31"/>
      <c r="V4" s="31"/>
      <c r="W4" s="125"/>
      <c r="X4" s="125"/>
      <c r="Y4" s="125"/>
      <c r="Z4" s="125"/>
    </row>
    <row r="5" spans="2:26" ht="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71"/>
      <c r="O5" s="31"/>
      <c r="P5" s="71"/>
      <c r="Q5" s="31"/>
      <c r="R5" s="31"/>
      <c r="S5" s="31"/>
      <c r="T5" s="31"/>
      <c r="U5" s="31"/>
      <c r="V5" s="31"/>
      <c r="W5" s="125"/>
      <c r="X5" s="125"/>
      <c r="Y5" s="125"/>
      <c r="Z5" s="125"/>
    </row>
    <row r="6" spans="2:26" ht="15" hidden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72"/>
      <c r="O6" s="67"/>
      <c r="P6" s="72"/>
      <c r="Q6" s="67"/>
      <c r="R6" s="67"/>
      <c r="S6" s="67"/>
      <c r="T6" s="67"/>
      <c r="U6" s="67"/>
      <c r="V6" s="67"/>
      <c r="W6" s="125"/>
      <c r="X6" s="125"/>
      <c r="Y6" s="125"/>
      <c r="Z6" s="125"/>
    </row>
    <row r="7" spans="2:26" ht="15" hidden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72"/>
      <c r="O7" s="67"/>
      <c r="P7" s="72"/>
      <c r="Q7" s="67"/>
      <c r="R7" s="67"/>
      <c r="S7" s="67"/>
      <c r="T7" s="67"/>
      <c r="U7" s="67"/>
      <c r="V7" s="67"/>
      <c r="W7" s="125"/>
      <c r="X7" s="125"/>
      <c r="Y7" s="125"/>
      <c r="Z7" s="125"/>
    </row>
    <row r="8" spans="2:26" ht="12.75" customHeight="1" hidden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72"/>
      <c r="O8" s="67"/>
      <c r="P8" s="72"/>
      <c r="Q8" s="67"/>
      <c r="R8" s="67"/>
      <c r="S8" s="67"/>
      <c r="T8" s="67"/>
      <c r="U8" s="67"/>
      <c r="V8" s="67"/>
      <c r="W8" s="125"/>
      <c r="X8" s="125"/>
      <c r="Y8" s="125"/>
      <c r="Z8" s="125"/>
    </row>
    <row r="9" spans="2:22" ht="15" hidden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6" s="38" customFormat="1" ht="33.75" customHeight="1">
      <c r="A10" s="126"/>
      <c r="B10" s="33" t="s">
        <v>0</v>
      </c>
      <c r="C10" s="35" t="s">
        <v>108</v>
      </c>
      <c r="D10" s="34" t="s">
        <v>1</v>
      </c>
      <c r="E10" s="34" t="s">
        <v>2</v>
      </c>
      <c r="F10" s="35" t="s">
        <v>124</v>
      </c>
      <c r="G10" s="35" t="s">
        <v>5</v>
      </c>
      <c r="H10" s="35" t="s">
        <v>6</v>
      </c>
      <c r="I10" s="35" t="s">
        <v>7</v>
      </c>
      <c r="J10" s="35" t="s">
        <v>8</v>
      </c>
      <c r="K10" s="35" t="s">
        <v>9</v>
      </c>
      <c r="L10" s="35" t="s">
        <v>10</v>
      </c>
      <c r="M10" s="35" t="s">
        <v>11</v>
      </c>
      <c r="N10" s="73" t="s">
        <v>12</v>
      </c>
      <c r="O10" s="35" t="s">
        <v>109</v>
      </c>
      <c r="P10" s="73" t="s">
        <v>110</v>
      </c>
      <c r="Q10" s="35" t="s">
        <v>15</v>
      </c>
      <c r="R10" s="35" t="s">
        <v>16</v>
      </c>
      <c r="S10" s="35" t="s">
        <v>17</v>
      </c>
      <c r="T10" s="35" t="s">
        <v>18</v>
      </c>
      <c r="U10" s="35" t="s">
        <v>19</v>
      </c>
      <c r="V10" s="36" t="s">
        <v>111</v>
      </c>
      <c r="W10" s="36" t="s">
        <v>107</v>
      </c>
      <c r="X10" s="37" t="s">
        <v>22</v>
      </c>
      <c r="Y10" s="37" t="s">
        <v>23</v>
      </c>
      <c r="Z10" s="37"/>
    </row>
    <row r="11" spans="2:26" ht="3" customHeight="1" thickBot="1">
      <c r="B11" s="7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75"/>
      <c r="O11" s="65"/>
      <c r="P11" s="75"/>
      <c r="Q11" s="65"/>
      <c r="R11" s="40"/>
      <c r="S11" s="40"/>
      <c r="T11" s="40"/>
      <c r="U11" s="40"/>
      <c r="V11" s="40"/>
      <c r="W11" s="40"/>
      <c r="X11" s="40"/>
      <c r="Y11" s="40"/>
      <c r="Z11" s="40"/>
    </row>
    <row r="12" spans="2:26" ht="12" customHeight="1" outlineLevel="1">
      <c r="B12" s="76" t="s">
        <v>24</v>
      </c>
      <c r="C12" s="66">
        <f aca="true" t="shared" si="0" ref="C12:C23">_xlfn.IFERROR(VLOOKUP($B12,$B$83:$F$138,2,FALSE),0)</f>
        <v>1375540</v>
      </c>
      <c r="D12" s="66">
        <f aca="true" t="shared" si="1" ref="D12:D23">_xlfn.IFERROR(VLOOKUP(B12,$B$83:$D$138,3,FALSE),0)</f>
        <v>335241</v>
      </c>
      <c r="E12" s="66">
        <f aca="true" t="shared" si="2" ref="E12:E23">_xlfn.IFERROR(VLOOKUP($B12,$B$83:$E$138,4,FALSE),0)</f>
        <v>84810</v>
      </c>
      <c r="F12" s="66">
        <f aca="true" t="shared" si="3" ref="F12:F23">_xlfn.IFERROR(VLOOKUP($B12,$B$83:$F$138,5,FALSE),0)</f>
        <v>346775</v>
      </c>
      <c r="G12" s="66">
        <f aca="true" t="shared" si="4" ref="G12:G23">_xlfn.IFERROR(VLOOKUP($B12,$B$83:$G$138,6,FALSE),0)</f>
        <v>488151</v>
      </c>
      <c r="H12" s="66">
        <f aca="true" t="shared" si="5" ref="H12:H23">_xlfn.IFERROR(VLOOKUP($B12,$B$83:$H$138,7,FALSE),0)</f>
        <v>912514</v>
      </c>
      <c r="I12" s="66">
        <f aca="true" t="shared" si="6" ref="I12:I23">_xlfn.IFERROR(VLOOKUP($B12,$B$83:$I$138,8,FALSE),0)</f>
        <v>667625</v>
      </c>
      <c r="J12" s="66">
        <f aca="true" t="shared" si="7" ref="J12:J23">_xlfn.IFERROR(VLOOKUP($B12,$B$83:$J$138,9,FALSE),0)</f>
        <v>661640</v>
      </c>
      <c r="K12" s="66">
        <f aca="true" t="shared" si="8" ref="K12:K23">_xlfn.IFERROR(VLOOKUP($B12,$B$83:$K$138,10,FALSE),0)</f>
        <v>1396928</v>
      </c>
      <c r="L12" s="66">
        <f aca="true" t="shared" si="9" ref="L12:L23">_xlfn.IFERROR(VLOOKUP($B12,$B$83:$L$138,11,FALSE),0)</f>
        <v>1393214</v>
      </c>
      <c r="M12" s="66">
        <f aca="true" t="shared" si="10" ref="M12:M23">_xlfn.IFERROR(VLOOKUP($B12,$B$83:$M$138,12,FALSE),0)</f>
        <v>0</v>
      </c>
      <c r="N12" s="77">
        <v>0</v>
      </c>
      <c r="O12" s="66">
        <f>(_xlfn.IFERROR(VLOOKUP($B12,$B$83:$O$138,14,FALSE),0))</f>
        <v>10365417</v>
      </c>
      <c r="P12" s="77">
        <f aca="true" t="shared" si="11" ref="P12:P23">_xlfn.IFERROR(VLOOKUP($B12,$B$83:$P$138,15,FALSE),0)</f>
        <v>0</v>
      </c>
      <c r="Q12" s="66">
        <f aca="true" t="shared" si="12" ref="Q12:Q23">_xlfn.IFERROR(VLOOKUP($B12,$B$83:$R$138,16,FALSE),0)</f>
        <v>6337306</v>
      </c>
      <c r="R12" s="66">
        <f aca="true" t="shared" si="13" ref="R12:R23">_xlfn.IFERROR(VLOOKUP($B12,$B$83:$R$138,17,FALSE),0)</f>
        <v>8644678</v>
      </c>
      <c r="S12" s="42">
        <f aca="true" t="shared" si="14" ref="S12:S23">_xlfn.IFERROR(VLOOKUP($B12,$B$83:$T$138,18,FALSE),0)</f>
        <v>756496</v>
      </c>
      <c r="T12" s="42">
        <f aca="true" t="shared" si="15" ref="T12:T23">_xlfn.IFERROR(VLOOKUP($B12,$B$83:$T$138,19,FALSE),0)</f>
        <v>2308230</v>
      </c>
      <c r="U12" s="42">
        <f aca="true" t="shared" si="16" ref="U12:U23">_xlfn.IFERROR(VLOOKUP($B12,$B$83:$V$138,20,FALSE),0)</f>
        <v>5491985</v>
      </c>
      <c r="V12" s="42">
        <f aca="true" t="shared" si="17" ref="V12:V23">_xlfn.IFERROR(VLOOKUP($B12,$B$83:$V$138,21,FALSE),0)</f>
        <v>41689429</v>
      </c>
      <c r="W12" s="42">
        <f aca="true" t="shared" si="18" ref="W12:W23">_xlfn.IFERROR(VLOOKUP($B12,$B$83:$X$138,22,FALSE),0)</f>
        <v>37452067</v>
      </c>
      <c r="X12" s="43">
        <f>V12-W12</f>
        <v>4237362</v>
      </c>
      <c r="Y12" s="44">
        <f aca="true" t="shared" si="19" ref="Y12:Y71">IF(W12=0,100%,X12/W12)</f>
        <v>0.11314093825582444</v>
      </c>
      <c r="Z12" s="44"/>
    </row>
    <row r="13" spans="2:26" ht="12" customHeight="1" outlineLevel="1">
      <c r="B13" s="76" t="s">
        <v>25</v>
      </c>
      <c r="C13" s="78">
        <f t="shared" si="0"/>
        <v>0</v>
      </c>
      <c r="D13" s="78">
        <f t="shared" si="1"/>
        <v>0</v>
      </c>
      <c r="E13" s="78">
        <f t="shared" si="2"/>
        <v>0</v>
      </c>
      <c r="F13" s="78">
        <f t="shared" si="3"/>
        <v>0</v>
      </c>
      <c r="G13" s="78">
        <f t="shared" si="4"/>
        <v>0</v>
      </c>
      <c r="H13" s="78">
        <f t="shared" si="5"/>
        <v>0</v>
      </c>
      <c r="I13" s="78">
        <f t="shared" si="6"/>
        <v>0</v>
      </c>
      <c r="J13" s="78">
        <f t="shared" si="7"/>
        <v>0</v>
      </c>
      <c r="K13" s="78">
        <f t="shared" si="8"/>
        <v>0</v>
      </c>
      <c r="L13" s="78">
        <f t="shared" si="9"/>
        <v>0</v>
      </c>
      <c r="M13" s="78">
        <f t="shared" si="10"/>
        <v>0</v>
      </c>
      <c r="N13" s="79">
        <f>_xlfn.IFERROR(VLOOKUP($B13,$B$83:$N$138,13,FALSE),0)</f>
        <v>0</v>
      </c>
      <c r="O13" s="78">
        <f>(_xlfn.IFERROR(VLOOKUP($B13,$B$83:$O$138,14,FALSE),0))+0</f>
        <v>0</v>
      </c>
      <c r="P13" s="79">
        <f t="shared" si="11"/>
        <v>0</v>
      </c>
      <c r="Q13" s="78">
        <f t="shared" si="12"/>
        <v>0</v>
      </c>
      <c r="R13" s="78">
        <f t="shared" si="13"/>
        <v>0</v>
      </c>
      <c r="S13" s="45">
        <f t="shared" si="14"/>
        <v>0</v>
      </c>
      <c r="T13" s="45">
        <f t="shared" si="15"/>
        <v>0</v>
      </c>
      <c r="U13" s="45">
        <f t="shared" si="16"/>
        <v>0</v>
      </c>
      <c r="V13" s="45">
        <f t="shared" si="17"/>
        <v>0</v>
      </c>
      <c r="W13" s="45">
        <f t="shared" si="18"/>
        <v>0</v>
      </c>
      <c r="X13" s="46">
        <f>V13-W13</f>
        <v>0</v>
      </c>
      <c r="Y13" s="44">
        <f t="shared" si="19"/>
        <v>1</v>
      </c>
      <c r="Z13" s="44"/>
    </row>
    <row r="14" spans="2:26" ht="12" customHeight="1" outlineLevel="1">
      <c r="B14" s="76" t="s">
        <v>26</v>
      </c>
      <c r="C14" s="78">
        <f t="shared" si="0"/>
        <v>0</v>
      </c>
      <c r="D14" s="78">
        <f t="shared" si="1"/>
        <v>0</v>
      </c>
      <c r="E14" s="78">
        <f t="shared" si="2"/>
        <v>0</v>
      </c>
      <c r="F14" s="78">
        <f t="shared" si="3"/>
        <v>0</v>
      </c>
      <c r="G14" s="78">
        <f t="shared" si="4"/>
        <v>0</v>
      </c>
      <c r="H14" s="78">
        <f t="shared" si="5"/>
        <v>46176</v>
      </c>
      <c r="I14" s="78">
        <f t="shared" si="6"/>
        <v>0</v>
      </c>
      <c r="J14" s="78">
        <f t="shared" si="7"/>
        <v>128584</v>
      </c>
      <c r="K14" s="78">
        <f t="shared" si="8"/>
        <v>0</v>
      </c>
      <c r="L14" s="78">
        <f t="shared" si="9"/>
        <v>0</v>
      </c>
      <c r="M14" s="78">
        <f t="shared" si="10"/>
        <v>0</v>
      </c>
      <c r="N14" s="79">
        <f>_xlfn.IFERROR(VLOOKUP($B14,$B$83:$N$138,13,FALSE),0)</f>
        <v>0</v>
      </c>
      <c r="O14" s="78">
        <f>(_xlfn.IFERROR(VLOOKUP($B14,$B$83:$O$138,14,FALSE),0))+0</f>
        <v>0</v>
      </c>
      <c r="P14" s="79">
        <f t="shared" si="11"/>
        <v>0</v>
      </c>
      <c r="Q14" s="78">
        <f t="shared" si="12"/>
        <v>0</v>
      </c>
      <c r="R14" s="78">
        <f t="shared" si="13"/>
        <v>0</v>
      </c>
      <c r="S14" s="45">
        <f t="shared" si="14"/>
        <v>0</v>
      </c>
      <c r="T14" s="45">
        <f t="shared" si="15"/>
        <v>0</v>
      </c>
      <c r="U14" s="45">
        <f t="shared" si="16"/>
        <v>0</v>
      </c>
      <c r="V14" s="45">
        <f t="shared" si="17"/>
        <v>174760</v>
      </c>
      <c r="W14" s="45">
        <f t="shared" si="18"/>
        <v>179568</v>
      </c>
      <c r="X14" s="46">
        <f>V14-W14</f>
        <v>-4808</v>
      </c>
      <c r="Y14" s="44">
        <f t="shared" si="19"/>
        <v>-0.02677537200392052</v>
      </c>
      <c r="Z14" s="44"/>
    </row>
    <row r="15" spans="2:26" ht="12" customHeight="1" outlineLevel="1">
      <c r="B15" s="76" t="s">
        <v>27</v>
      </c>
      <c r="C15" s="78">
        <f t="shared" si="0"/>
        <v>456</v>
      </c>
      <c r="D15" s="78">
        <f t="shared" si="1"/>
        <v>0</v>
      </c>
      <c r="E15" s="78">
        <f t="shared" si="2"/>
        <v>0</v>
      </c>
      <c r="F15" s="78">
        <f t="shared" si="3"/>
        <v>0</v>
      </c>
      <c r="G15" s="78">
        <f t="shared" si="4"/>
        <v>0</v>
      </c>
      <c r="H15" s="78">
        <f t="shared" si="5"/>
        <v>2396</v>
      </c>
      <c r="I15" s="78">
        <f t="shared" si="6"/>
        <v>0</v>
      </c>
      <c r="J15" s="78">
        <f t="shared" si="7"/>
        <v>0</v>
      </c>
      <c r="K15" s="78">
        <f t="shared" si="8"/>
        <v>1947</v>
      </c>
      <c r="L15" s="78">
        <f t="shared" si="9"/>
        <v>1554</v>
      </c>
      <c r="M15" s="78">
        <f t="shared" si="10"/>
        <v>0</v>
      </c>
      <c r="N15" s="79">
        <f>_xlfn.IFERROR(VLOOKUP($B15,$B$83:$N$138,13,FALSE),0)</f>
        <v>0</v>
      </c>
      <c r="O15" s="78">
        <f>(_xlfn.IFERROR(VLOOKUP($B15,$B$83:$O$138,14,FALSE),0))</f>
        <v>366132</v>
      </c>
      <c r="P15" s="79">
        <f t="shared" si="11"/>
        <v>0</v>
      </c>
      <c r="Q15" s="78">
        <f t="shared" si="12"/>
        <v>85663</v>
      </c>
      <c r="R15" s="78">
        <f t="shared" si="13"/>
        <v>340000</v>
      </c>
      <c r="S15" s="45">
        <f t="shared" si="14"/>
        <v>0</v>
      </c>
      <c r="T15" s="45">
        <f t="shared" si="15"/>
        <v>0</v>
      </c>
      <c r="U15" s="45">
        <f t="shared" si="16"/>
        <v>23028</v>
      </c>
      <c r="V15" s="45">
        <f t="shared" si="17"/>
        <v>821176</v>
      </c>
      <c r="W15" s="45">
        <f t="shared" si="18"/>
        <v>717831</v>
      </c>
      <c r="X15" s="46">
        <f>V15-W15</f>
        <v>103345</v>
      </c>
      <c r="Y15" s="44">
        <f t="shared" si="19"/>
        <v>0.14396842710888774</v>
      </c>
      <c r="Z15" s="44"/>
    </row>
    <row r="16" spans="2:26" ht="12" customHeight="1" outlineLevel="1">
      <c r="B16" s="76" t="s">
        <v>28</v>
      </c>
      <c r="C16" s="78">
        <f t="shared" si="0"/>
        <v>0</v>
      </c>
      <c r="D16" s="78">
        <f t="shared" si="1"/>
        <v>0</v>
      </c>
      <c r="E16" s="78">
        <f t="shared" si="2"/>
        <v>0</v>
      </c>
      <c r="F16" s="78">
        <f t="shared" si="3"/>
        <v>0</v>
      </c>
      <c r="G16" s="78">
        <f t="shared" si="4"/>
        <v>0</v>
      </c>
      <c r="H16" s="78">
        <f t="shared" si="5"/>
        <v>0</v>
      </c>
      <c r="I16" s="78">
        <f t="shared" si="6"/>
        <v>0</v>
      </c>
      <c r="J16" s="78">
        <f t="shared" si="7"/>
        <v>0</v>
      </c>
      <c r="K16" s="78">
        <f t="shared" si="8"/>
        <v>0</v>
      </c>
      <c r="L16" s="78">
        <f t="shared" si="9"/>
        <v>0</v>
      </c>
      <c r="M16" s="78">
        <f t="shared" si="10"/>
        <v>9161931</v>
      </c>
      <c r="N16" s="79">
        <f>_xlfn.IFERROR(VLOOKUP($B16,$B$83:$N$138,13,FALSE),0)</f>
        <v>0</v>
      </c>
      <c r="O16" s="78">
        <f>(_xlfn.IFERROR(VLOOKUP($B16,$B$83:$O$138,14,FALSE),0))</f>
        <v>0</v>
      </c>
      <c r="P16" s="79">
        <f t="shared" si="11"/>
        <v>0</v>
      </c>
      <c r="Q16" s="78">
        <f t="shared" si="12"/>
        <v>0</v>
      </c>
      <c r="R16" s="78">
        <f t="shared" si="13"/>
        <v>0</v>
      </c>
      <c r="S16" s="45">
        <f t="shared" si="14"/>
        <v>0</v>
      </c>
      <c r="T16" s="45">
        <f t="shared" si="15"/>
        <v>0</v>
      </c>
      <c r="U16" s="45">
        <f t="shared" si="16"/>
        <v>0</v>
      </c>
      <c r="V16" s="45">
        <f t="shared" si="17"/>
        <v>9161931</v>
      </c>
      <c r="W16" s="45">
        <f t="shared" si="18"/>
        <v>8349010</v>
      </c>
      <c r="X16" s="46">
        <f>V16-W16</f>
        <v>812921</v>
      </c>
      <c r="Y16" s="44">
        <f t="shared" si="19"/>
        <v>0.0973673525364085</v>
      </c>
      <c r="Z16" s="44"/>
    </row>
    <row r="17" spans="2:26" ht="12" customHeight="1" outlineLevel="1">
      <c r="B17" s="76" t="s">
        <v>29</v>
      </c>
      <c r="C17" s="78">
        <f t="shared" si="0"/>
        <v>184000</v>
      </c>
      <c r="D17" s="78">
        <f t="shared" si="1"/>
        <v>37381</v>
      </c>
      <c r="E17" s="78">
        <f t="shared" si="2"/>
        <v>11252</v>
      </c>
      <c r="F17" s="78">
        <f t="shared" si="3"/>
        <v>46642</v>
      </c>
      <c r="G17" s="78">
        <f t="shared" si="4"/>
        <v>66476</v>
      </c>
      <c r="H17" s="78">
        <f t="shared" si="5"/>
        <v>116753</v>
      </c>
      <c r="I17" s="78">
        <f t="shared" si="6"/>
        <v>89943</v>
      </c>
      <c r="J17" s="78">
        <f t="shared" si="7"/>
        <v>87541</v>
      </c>
      <c r="K17" s="78">
        <f t="shared" si="8"/>
        <v>185290</v>
      </c>
      <c r="L17" s="78">
        <f t="shared" si="9"/>
        <v>185804</v>
      </c>
      <c r="M17" s="80">
        <f t="shared" si="10"/>
        <v>0</v>
      </c>
      <c r="N17" s="79">
        <v>0</v>
      </c>
      <c r="O17" s="78">
        <f>(_xlfn.IFERROR(VLOOKUP($B17,$B$83:$O$138,14,FALSE),0))</f>
        <v>1390511</v>
      </c>
      <c r="P17" s="79">
        <f t="shared" si="11"/>
        <v>0</v>
      </c>
      <c r="Q17" s="78">
        <f t="shared" si="12"/>
        <v>852287</v>
      </c>
      <c r="R17" s="78">
        <f t="shared" si="13"/>
        <v>1142850</v>
      </c>
      <c r="S17" s="45">
        <f t="shared" si="14"/>
        <v>100384</v>
      </c>
      <c r="T17" s="45">
        <f t="shared" si="15"/>
        <v>303142</v>
      </c>
      <c r="U17" s="45">
        <f t="shared" si="16"/>
        <v>729568</v>
      </c>
      <c r="V17" s="45">
        <f t="shared" si="17"/>
        <v>5546124</v>
      </c>
      <c r="W17" s="45">
        <f t="shared" si="18"/>
        <v>4966450</v>
      </c>
      <c r="X17" s="46">
        <f>V17-W17</f>
        <v>579674</v>
      </c>
      <c r="Y17" s="44">
        <f t="shared" si="19"/>
        <v>0.11671797762989661</v>
      </c>
      <c r="Z17" s="44"/>
    </row>
    <row r="18" spans="2:26" ht="12" customHeight="1" outlineLevel="1">
      <c r="B18" s="76" t="s">
        <v>30</v>
      </c>
      <c r="C18" s="78">
        <f t="shared" si="0"/>
        <v>0</v>
      </c>
      <c r="D18" s="78">
        <f t="shared" si="1"/>
        <v>0</v>
      </c>
      <c r="E18" s="78">
        <f t="shared" si="2"/>
        <v>0</v>
      </c>
      <c r="F18" s="78">
        <f t="shared" si="3"/>
        <v>0</v>
      </c>
      <c r="G18" s="78">
        <f t="shared" si="4"/>
        <v>0</v>
      </c>
      <c r="H18" s="78">
        <f t="shared" si="5"/>
        <v>6119</v>
      </c>
      <c r="I18" s="78">
        <f t="shared" si="6"/>
        <v>0</v>
      </c>
      <c r="J18" s="78">
        <f t="shared" si="7"/>
        <v>16966</v>
      </c>
      <c r="K18" s="78">
        <f t="shared" si="8"/>
        <v>0</v>
      </c>
      <c r="L18" s="78">
        <f t="shared" si="9"/>
        <v>0</v>
      </c>
      <c r="M18" s="78">
        <f t="shared" si="10"/>
        <v>0</v>
      </c>
      <c r="N18" s="79">
        <f aca="true" t="shared" si="20" ref="N18:N23">_xlfn.IFERROR(VLOOKUP($B18,$B$83:$N$138,13,FALSE),0)</f>
        <v>0</v>
      </c>
      <c r="O18" s="78">
        <f aca="true" t="shared" si="21" ref="O18:O23">(_xlfn.IFERROR(VLOOKUP($B18,$B$83:$O$138,14,FALSE),0))+0</f>
        <v>0</v>
      </c>
      <c r="P18" s="79">
        <f t="shared" si="11"/>
        <v>0</v>
      </c>
      <c r="Q18" s="78">
        <f t="shared" si="12"/>
        <v>0</v>
      </c>
      <c r="R18" s="78">
        <f t="shared" si="13"/>
        <v>0</v>
      </c>
      <c r="S18" s="45">
        <f t="shared" si="14"/>
        <v>0</v>
      </c>
      <c r="T18" s="45">
        <f t="shared" si="15"/>
        <v>0</v>
      </c>
      <c r="U18" s="45">
        <f t="shared" si="16"/>
        <v>0</v>
      </c>
      <c r="V18" s="45">
        <f t="shared" si="17"/>
        <v>23085</v>
      </c>
      <c r="W18" s="45">
        <f t="shared" si="18"/>
        <v>23408</v>
      </c>
      <c r="X18" s="46">
        <f>V18-W18</f>
        <v>-323</v>
      </c>
      <c r="Y18" s="44">
        <f t="shared" si="19"/>
        <v>-0.013798701298701298</v>
      </c>
      <c r="Z18" s="44"/>
    </row>
    <row r="19" spans="2:26" ht="12" customHeight="1" outlineLevel="1">
      <c r="B19" s="76" t="s">
        <v>31</v>
      </c>
      <c r="C19" s="78">
        <f t="shared" si="0"/>
        <v>0</v>
      </c>
      <c r="D19" s="78">
        <f t="shared" si="1"/>
        <v>0</v>
      </c>
      <c r="E19" s="78">
        <f t="shared" si="2"/>
        <v>0</v>
      </c>
      <c r="F19" s="78">
        <f t="shared" si="3"/>
        <v>0</v>
      </c>
      <c r="G19" s="78">
        <f t="shared" si="4"/>
        <v>0</v>
      </c>
      <c r="H19" s="78">
        <f t="shared" si="5"/>
        <v>0</v>
      </c>
      <c r="I19" s="78">
        <f t="shared" si="6"/>
        <v>0</v>
      </c>
      <c r="J19" s="78">
        <f t="shared" si="7"/>
        <v>0</v>
      </c>
      <c r="K19" s="78">
        <f t="shared" si="8"/>
        <v>0</v>
      </c>
      <c r="L19" s="78">
        <f t="shared" si="9"/>
        <v>0</v>
      </c>
      <c r="M19" s="78">
        <f t="shared" si="10"/>
        <v>0</v>
      </c>
      <c r="N19" s="79">
        <f t="shared" si="20"/>
        <v>0</v>
      </c>
      <c r="O19" s="78">
        <f t="shared" si="21"/>
        <v>0</v>
      </c>
      <c r="P19" s="79">
        <f t="shared" si="11"/>
        <v>0</v>
      </c>
      <c r="Q19" s="78">
        <f t="shared" si="12"/>
        <v>0</v>
      </c>
      <c r="R19" s="78">
        <f t="shared" si="13"/>
        <v>0</v>
      </c>
      <c r="S19" s="45">
        <f t="shared" si="14"/>
        <v>0</v>
      </c>
      <c r="T19" s="45">
        <f t="shared" si="15"/>
        <v>0</v>
      </c>
      <c r="U19" s="45">
        <f t="shared" si="16"/>
        <v>0</v>
      </c>
      <c r="V19" s="45">
        <f t="shared" si="17"/>
        <v>0</v>
      </c>
      <c r="W19" s="45">
        <f t="shared" si="18"/>
        <v>0</v>
      </c>
      <c r="X19" s="46">
        <f>V19-W19</f>
        <v>0</v>
      </c>
      <c r="Y19" s="44">
        <f t="shared" si="19"/>
        <v>1</v>
      </c>
      <c r="Z19" s="44"/>
    </row>
    <row r="20" spans="2:26" ht="12" customHeight="1" outlineLevel="1">
      <c r="B20" s="76" t="s">
        <v>32</v>
      </c>
      <c r="C20" s="78">
        <f t="shared" si="0"/>
        <v>0</v>
      </c>
      <c r="D20" s="78">
        <f t="shared" si="1"/>
        <v>0</v>
      </c>
      <c r="E20" s="78">
        <f t="shared" si="2"/>
        <v>0</v>
      </c>
      <c r="F20" s="78">
        <f t="shared" si="3"/>
        <v>0</v>
      </c>
      <c r="G20" s="78">
        <f t="shared" si="4"/>
        <v>0</v>
      </c>
      <c r="H20" s="78">
        <f t="shared" si="5"/>
        <v>31575</v>
      </c>
      <c r="I20" s="78">
        <f t="shared" si="6"/>
        <v>0</v>
      </c>
      <c r="J20" s="78">
        <f t="shared" si="7"/>
        <v>0</v>
      </c>
      <c r="K20" s="78">
        <f t="shared" si="8"/>
        <v>0</v>
      </c>
      <c r="L20" s="78">
        <f t="shared" si="9"/>
        <v>0</v>
      </c>
      <c r="M20" s="78">
        <f t="shared" si="10"/>
        <v>0</v>
      </c>
      <c r="N20" s="79">
        <f t="shared" si="20"/>
        <v>0</v>
      </c>
      <c r="O20" s="78">
        <f t="shared" si="21"/>
        <v>0</v>
      </c>
      <c r="P20" s="79">
        <f t="shared" si="11"/>
        <v>0</v>
      </c>
      <c r="Q20" s="78">
        <f t="shared" si="12"/>
        <v>0</v>
      </c>
      <c r="R20" s="78">
        <f t="shared" si="13"/>
        <v>0</v>
      </c>
      <c r="S20" s="45">
        <f t="shared" si="14"/>
        <v>0</v>
      </c>
      <c r="T20" s="45">
        <f t="shared" si="15"/>
        <v>0</v>
      </c>
      <c r="U20" s="45">
        <f t="shared" si="16"/>
        <v>0</v>
      </c>
      <c r="V20" s="45">
        <f t="shared" si="17"/>
        <v>31575</v>
      </c>
      <c r="W20" s="45">
        <f t="shared" si="18"/>
        <v>27913</v>
      </c>
      <c r="X20" s="46">
        <f>V20-W20</f>
        <v>3662</v>
      </c>
      <c r="Y20" s="44">
        <f t="shared" si="19"/>
        <v>0.13119335076845914</v>
      </c>
      <c r="Z20" s="44"/>
    </row>
    <row r="21" spans="2:26" ht="12" customHeight="1" outlineLevel="1">
      <c r="B21" s="76" t="s">
        <v>33</v>
      </c>
      <c r="C21" s="78">
        <f t="shared" si="0"/>
        <v>0</v>
      </c>
      <c r="D21" s="78">
        <f t="shared" si="1"/>
        <v>0</v>
      </c>
      <c r="E21" s="78">
        <f t="shared" si="2"/>
        <v>0</v>
      </c>
      <c r="F21" s="78">
        <f t="shared" si="3"/>
        <v>0</v>
      </c>
      <c r="G21" s="78">
        <f t="shared" si="4"/>
        <v>0</v>
      </c>
      <c r="H21" s="78">
        <f t="shared" si="5"/>
        <v>0</v>
      </c>
      <c r="I21" s="78">
        <f t="shared" si="6"/>
        <v>0</v>
      </c>
      <c r="J21" s="78">
        <f t="shared" si="7"/>
        <v>0</v>
      </c>
      <c r="K21" s="78">
        <f t="shared" si="8"/>
        <v>0</v>
      </c>
      <c r="L21" s="78">
        <f t="shared" si="9"/>
        <v>0</v>
      </c>
      <c r="M21" s="78">
        <f t="shared" si="10"/>
        <v>227386</v>
      </c>
      <c r="N21" s="79">
        <f t="shared" si="20"/>
        <v>0</v>
      </c>
      <c r="O21" s="78">
        <f t="shared" si="21"/>
        <v>0</v>
      </c>
      <c r="P21" s="79">
        <f t="shared" si="11"/>
        <v>0</v>
      </c>
      <c r="Q21" s="78">
        <f t="shared" si="12"/>
        <v>0</v>
      </c>
      <c r="R21" s="78">
        <f t="shared" si="13"/>
        <v>0</v>
      </c>
      <c r="S21" s="45">
        <f t="shared" si="14"/>
        <v>0</v>
      </c>
      <c r="T21" s="45">
        <f t="shared" si="15"/>
        <v>0</v>
      </c>
      <c r="U21" s="45">
        <f t="shared" si="16"/>
        <v>0</v>
      </c>
      <c r="V21" s="45">
        <f t="shared" si="17"/>
        <v>227386</v>
      </c>
      <c r="W21" s="45">
        <f t="shared" si="18"/>
        <v>200000</v>
      </c>
      <c r="X21" s="46">
        <f>V21-W21</f>
        <v>27386</v>
      </c>
      <c r="Y21" s="44">
        <f t="shared" si="19"/>
        <v>0.13693</v>
      </c>
      <c r="Z21" s="44"/>
    </row>
    <row r="22" spans="2:26" ht="12" customHeight="1" outlineLevel="1">
      <c r="B22" s="76" t="s">
        <v>34</v>
      </c>
      <c r="C22" s="78">
        <f t="shared" si="0"/>
        <v>0</v>
      </c>
      <c r="D22" s="78">
        <f t="shared" si="1"/>
        <v>0</v>
      </c>
      <c r="E22" s="78">
        <f t="shared" si="2"/>
        <v>0</v>
      </c>
      <c r="F22" s="78">
        <f t="shared" si="3"/>
        <v>0</v>
      </c>
      <c r="G22" s="78">
        <f t="shared" si="4"/>
        <v>0</v>
      </c>
      <c r="H22" s="78">
        <f t="shared" si="5"/>
        <v>0</v>
      </c>
      <c r="I22" s="78">
        <f t="shared" si="6"/>
        <v>0</v>
      </c>
      <c r="J22" s="78">
        <f t="shared" si="7"/>
        <v>0</v>
      </c>
      <c r="K22" s="78">
        <f t="shared" si="8"/>
        <v>0</v>
      </c>
      <c r="L22" s="78">
        <f t="shared" si="9"/>
        <v>0</v>
      </c>
      <c r="M22" s="78">
        <f t="shared" si="10"/>
        <v>0</v>
      </c>
      <c r="N22" s="79">
        <f t="shared" si="20"/>
        <v>0</v>
      </c>
      <c r="O22" s="78">
        <f t="shared" si="21"/>
        <v>0</v>
      </c>
      <c r="P22" s="79">
        <f t="shared" si="11"/>
        <v>0</v>
      </c>
      <c r="Q22" s="78">
        <f t="shared" si="12"/>
        <v>0</v>
      </c>
      <c r="R22" s="78">
        <f t="shared" si="13"/>
        <v>0</v>
      </c>
      <c r="S22" s="45">
        <f t="shared" si="14"/>
        <v>0</v>
      </c>
      <c r="T22" s="45">
        <f t="shared" si="15"/>
        <v>0</v>
      </c>
      <c r="U22" s="45">
        <f t="shared" si="16"/>
        <v>0</v>
      </c>
      <c r="V22" s="45">
        <f t="shared" si="17"/>
        <v>0</v>
      </c>
      <c r="W22" s="45">
        <f t="shared" si="18"/>
        <v>1920000</v>
      </c>
      <c r="X22" s="46">
        <f>V22-W22</f>
        <v>-1920000</v>
      </c>
      <c r="Y22" s="44">
        <f t="shared" si="19"/>
        <v>-1</v>
      </c>
      <c r="Z22" s="44"/>
    </row>
    <row r="23" spans="2:26" ht="12" customHeight="1" outlineLevel="1">
      <c r="B23" s="76" t="s">
        <v>35</v>
      </c>
      <c r="C23" s="78">
        <f t="shared" si="0"/>
        <v>0</v>
      </c>
      <c r="D23" s="78">
        <f t="shared" si="1"/>
        <v>0</v>
      </c>
      <c r="E23" s="78">
        <f t="shared" si="2"/>
        <v>0</v>
      </c>
      <c r="F23" s="78">
        <f t="shared" si="3"/>
        <v>0</v>
      </c>
      <c r="G23" s="78">
        <f t="shared" si="4"/>
        <v>0</v>
      </c>
      <c r="H23" s="78">
        <f t="shared" si="5"/>
        <v>0</v>
      </c>
      <c r="I23" s="78">
        <f t="shared" si="6"/>
        <v>0</v>
      </c>
      <c r="J23" s="78">
        <f t="shared" si="7"/>
        <v>0</v>
      </c>
      <c r="K23" s="78">
        <f t="shared" si="8"/>
        <v>0</v>
      </c>
      <c r="L23" s="78">
        <f t="shared" si="9"/>
        <v>0</v>
      </c>
      <c r="M23" s="78">
        <f t="shared" si="10"/>
        <v>382573</v>
      </c>
      <c r="N23" s="79">
        <f t="shared" si="20"/>
        <v>0</v>
      </c>
      <c r="O23" s="78">
        <f t="shared" si="21"/>
        <v>0</v>
      </c>
      <c r="P23" s="79">
        <f t="shared" si="11"/>
        <v>0</v>
      </c>
      <c r="Q23" s="78">
        <f t="shared" si="12"/>
        <v>0</v>
      </c>
      <c r="R23" s="78">
        <f t="shared" si="13"/>
        <v>0</v>
      </c>
      <c r="S23" s="45">
        <f t="shared" si="14"/>
        <v>0</v>
      </c>
      <c r="T23" s="45">
        <f t="shared" si="15"/>
        <v>0</v>
      </c>
      <c r="U23" s="45">
        <f t="shared" si="16"/>
        <v>0</v>
      </c>
      <c r="V23" s="45">
        <f t="shared" si="17"/>
        <v>382573</v>
      </c>
      <c r="W23" s="45">
        <f t="shared" si="18"/>
        <v>331395</v>
      </c>
      <c r="X23" s="46">
        <f>V23-W23</f>
        <v>51178</v>
      </c>
      <c r="Y23" s="44">
        <f t="shared" si="19"/>
        <v>0.15443202220914617</v>
      </c>
      <c r="Z23" s="44"/>
    </row>
    <row r="24" spans="1:26" s="48" customFormat="1" ht="12" customHeight="1" outlineLevel="1">
      <c r="A24" s="127"/>
      <c r="B24" s="81" t="s">
        <v>106</v>
      </c>
      <c r="C24" s="82">
        <f>SUM(C12:C23)</f>
        <v>1559996</v>
      </c>
      <c r="D24" s="82">
        <f aca="true" t="shared" si="22" ref="D24:X24">SUM(D12:D23)</f>
        <v>372622</v>
      </c>
      <c r="E24" s="82">
        <f t="shared" si="22"/>
        <v>96062</v>
      </c>
      <c r="F24" s="82">
        <f t="shared" si="22"/>
        <v>393417</v>
      </c>
      <c r="G24" s="82">
        <f t="shared" si="22"/>
        <v>554627</v>
      </c>
      <c r="H24" s="82">
        <f t="shared" si="22"/>
        <v>1115533</v>
      </c>
      <c r="I24" s="82">
        <f t="shared" si="22"/>
        <v>757568</v>
      </c>
      <c r="J24" s="82">
        <f t="shared" si="22"/>
        <v>894731</v>
      </c>
      <c r="K24" s="82">
        <f t="shared" si="22"/>
        <v>1584165</v>
      </c>
      <c r="L24" s="82">
        <f t="shared" si="22"/>
        <v>1580572</v>
      </c>
      <c r="M24" s="82">
        <f t="shared" si="22"/>
        <v>9771890</v>
      </c>
      <c r="N24" s="82">
        <f t="shared" si="22"/>
        <v>0</v>
      </c>
      <c r="O24" s="82">
        <f t="shared" si="22"/>
        <v>12122060</v>
      </c>
      <c r="P24" s="82">
        <f t="shared" si="22"/>
        <v>0</v>
      </c>
      <c r="Q24" s="82">
        <f t="shared" si="22"/>
        <v>7275256</v>
      </c>
      <c r="R24" s="82">
        <f t="shared" si="22"/>
        <v>10127528</v>
      </c>
      <c r="S24" s="82">
        <f t="shared" si="22"/>
        <v>856880</v>
      </c>
      <c r="T24" s="82">
        <f t="shared" si="22"/>
        <v>2611372</v>
      </c>
      <c r="U24" s="82">
        <f t="shared" si="22"/>
        <v>6244581</v>
      </c>
      <c r="V24" s="82">
        <f t="shared" si="22"/>
        <v>58058039</v>
      </c>
      <c r="W24" s="82">
        <f>SUM(W12:W23)</f>
        <v>54167642</v>
      </c>
      <c r="X24" s="82">
        <f t="shared" si="22"/>
        <v>3890397</v>
      </c>
      <c r="Y24" s="47">
        <f>IF(W24=0,100%,X24/W24)</f>
        <v>0.07182142061860473</v>
      </c>
      <c r="Z24" s="47"/>
    </row>
    <row r="25" spans="2:26" ht="12" customHeight="1" outlineLevel="1">
      <c r="B25" s="76" t="s">
        <v>37</v>
      </c>
      <c r="C25" s="78">
        <f aca="true" t="shared" si="23" ref="C25:C33">_xlfn.IFERROR(VLOOKUP($B25,$B$83:$F$138,2,FALSE),0)</f>
        <v>1023</v>
      </c>
      <c r="D25" s="78">
        <f aca="true" t="shared" si="24" ref="D25:D33">_xlfn.IFERROR(VLOOKUP(B25,$B$83:$D$138,3,FALSE),0)</f>
        <v>273641</v>
      </c>
      <c r="E25" s="78">
        <f aca="true" t="shared" si="25" ref="E25:E33">_xlfn.IFERROR(VLOOKUP($B25,$B$83:$E$138,4,FALSE),0)</f>
        <v>0</v>
      </c>
      <c r="F25" s="78">
        <f aca="true" t="shared" si="26" ref="F25:F33">_xlfn.IFERROR(VLOOKUP($B25,$B$83:$F$138,5,FALSE),0)</f>
        <v>448274</v>
      </c>
      <c r="G25" s="78">
        <f aca="true" t="shared" si="27" ref="G25:G33">_xlfn.IFERROR(VLOOKUP($B25,$B$83:$G$138,6,FALSE),0)</f>
        <v>211200</v>
      </c>
      <c r="H25" s="78">
        <f aca="true" t="shared" si="28" ref="H25:H33">_xlfn.IFERROR(VLOOKUP($B25,$B$83:$H$138,7,FALSE),0)</f>
        <v>162551</v>
      </c>
      <c r="I25" s="78">
        <f aca="true" t="shared" si="29" ref="I25:I33">_xlfn.IFERROR(VLOOKUP($B25,$B$83:$I$138,8,FALSE),0)</f>
        <v>197763</v>
      </c>
      <c r="J25" s="78">
        <f aca="true" t="shared" si="30" ref="J25:J33">_xlfn.IFERROR(VLOOKUP($B25,$B$83:$J$138,9,FALSE),0)</f>
        <v>0</v>
      </c>
      <c r="K25" s="78">
        <f aca="true" t="shared" si="31" ref="K25:K33">_xlfn.IFERROR(VLOOKUP($B25,$B$83:$K$138,10,FALSE),0)</f>
        <v>2030</v>
      </c>
      <c r="L25" s="78">
        <f aca="true" t="shared" si="32" ref="L25:L33">_xlfn.IFERROR(VLOOKUP($B25,$B$83:$L$138,11,FALSE),0)</f>
        <v>1747752</v>
      </c>
      <c r="M25" s="78">
        <f aca="true" t="shared" si="33" ref="M25:M33">_xlfn.IFERROR(VLOOKUP($B25,$B$83:$M$138,12,FALSE),0)</f>
        <v>0</v>
      </c>
      <c r="N25" s="79">
        <v>0</v>
      </c>
      <c r="O25" s="78">
        <f aca="true" t="shared" si="34" ref="O25:O33">(_xlfn.IFERROR(VLOOKUP($B25,$B$83:$O$138,14,FALSE),0))</f>
        <v>10491036</v>
      </c>
      <c r="P25" s="79">
        <f aca="true" t="shared" si="35" ref="P25:P33">_xlfn.IFERROR(VLOOKUP($B25,$B$83:$P$138,15,FALSE),0)</f>
        <v>0</v>
      </c>
      <c r="Q25" s="78">
        <f aca="true" t="shared" si="36" ref="Q25:Q33">_xlfn.IFERROR(VLOOKUP($B25,$B$83:$R$138,16,FALSE),0)</f>
        <v>104280</v>
      </c>
      <c r="R25" s="78">
        <f aca="true" t="shared" si="37" ref="R25:R33">_xlfn.IFERROR(VLOOKUP($B25,$B$83:$R$138,17,FALSE),0)</f>
        <v>299999</v>
      </c>
      <c r="S25" s="45">
        <f aca="true" t="shared" si="38" ref="S25:S33">_xlfn.IFERROR(VLOOKUP($B25,$B$83:$T$138,18,FALSE),0)</f>
        <v>0</v>
      </c>
      <c r="T25" s="45">
        <f aca="true" t="shared" si="39" ref="T25:T33">_xlfn.IFERROR(VLOOKUP($B25,$B$83:$T$138,19,FALSE),0)</f>
        <v>33080</v>
      </c>
      <c r="U25" s="45">
        <f aca="true" t="shared" si="40" ref="U25:U33">_xlfn.IFERROR(VLOOKUP($B25,$B$83:$V$138,20,FALSE),0)</f>
        <v>82852</v>
      </c>
      <c r="V25" s="45">
        <f aca="true" t="shared" si="41" ref="V25:V31">_xlfn.IFERROR(VLOOKUP($B25,$B$83:$V$138,21,FALSE),0)</f>
        <v>14055481</v>
      </c>
      <c r="W25" s="45">
        <f aca="true" t="shared" si="42" ref="W25:W33">_xlfn.IFERROR(VLOOKUP($B25,$B$83:$X$138,22,FALSE),0)</f>
        <v>11271418</v>
      </c>
      <c r="X25" s="46">
        <f>V25-W25</f>
        <v>2784063</v>
      </c>
      <c r="Y25" s="44">
        <f t="shared" si="19"/>
        <v>0.24700201873446623</v>
      </c>
      <c r="Z25" s="44"/>
    </row>
    <row r="26" spans="2:26" ht="12" customHeight="1" outlineLevel="1">
      <c r="B26" s="76" t="s">
        <v>38</v>
      </c>
      <c r="C26" s="78">
        <f t="shared" si="23"/>
        <v>0</v>
      </c>
      <c r="D26" s="78">
        <f t="shared" si="24"/>
        <v>0</v>
      </c>
      <c r="E26" s="78">
        <f t="shared" si="25"/>
        <v>0</v>
      </c>
      <c r="F26" s="78">
        <f t="shared" si="26"/>
        <v>0</v>
      </c>
      <c r="G26" s="78">
        <f t="shared" si="27"/>
        <v>0</v>
      </c>
      <c r="H26" s="78">
        <f t="shared" si="28"/>
        <v>0</v>
      </c>
      <c r="I26" s="78">
        <f t="shared" si="29"/>
        <v>0</v>
      </c>
      <c r="J26" s="78">
        <f t="shared" si="30"/>
        <v>2086669</v>
      </c>
      <c r="K26" s="78">
        <f t="shared" si="31"/>
        <v>0</v>
      </c>
      <c r="L26" s="78">
        <f t="shared" si="32"/>
        <v>0</v>
      </c>
      <c r="M26" s="78">
        <f t="shared" si="33"/>
        <v>0</v>
      </c>
      <c r="N26" s="79">
        <f aca="true" t="shared" si="43" ref="N26:N33">_xlfn.IFERROR(VLOOKUP($B26,$B$83:$N$138,13,FALSE),0)</f>
        <v>0</v>
      </c>
      <c r="O26" s="78">
        <f t="shared" si="34"/>
        <v>0</v>
      </c>
      <c r="P26" s="79">
        <f t="shared" si="35"/>
        <v>0</v>
      </c>
      <c r="Q26" s="78">
        <f t="shared" si="36"/>
        <v>0</v>
      </c>
      <c r="R26" s="78">
        <f t="shared" si="37"/>
        <v>0</v>
      </c>
      <c r="S26" s="45">
        <f t="shared" si="38"/>
        <v>0</v>
      </c>
      <c r="T26" s="45">
        <f t="shared" si="39"/>
        <v>0</v>
      </c>
      <c r="U26" s="45">
        <f t="shared" si="40"/>
        <v>0</v>
      </c>
      <c r="V26" s="45">
        <f t="shared" si="41"/>
        <v>2086669</v>
      </c>
      <c r="W26" s="45">
        <f t="shared" si="42"/>
        <v>1820000</v>
      </c>
      <c r="X26" s="46">
        <f>V26-W26</f>
        <v>266669</v>
      </c>
      <c r="Y26" s="44">
        <f t="shared" si="19"/>
        <v>0.14652142857142858</v>
      </c>
      <c r="Z26" s="44"/>
    </row>
    <row r="27" spans="2:26" ht="12" customHeight="1" outlineLevel="1">
      <c r="B27" s="76" t="s">
        <v>39</v>
      </c>
      <c r="C27" s="78">
        <f t="shared" si="23"/>
        <v>0</v>
      </c>
      <c r="D27" s="78">
        <f t="shared" si="24"/>
        <v>0</v>
      </c>
      <c r="E27" s="78">
        <f t="shared" si="25"/>
        <v>0</v>
      </c>
      <c r="F27" s="78">
        <f t="shared" si="26"/>
        <v>0</v>
      </c>
      <c r="G27" s="78">
        <f t="shared" si="27"/>
        <v>0</v>
      </c>
      <c r="H27" s="78">
        <f t="shared" si="28"/>
        <v>0</v>
      </c>
      <c r="I27" s="78">
        <f t="shared" si="29"/>
        <v>198029</v>
      </c>
      <c r="J27" s="78">
        <f t="shared" si="30"/>
        <v>0</v>
      </c>
      <c r="K27" s="78">
        <f t="shared" si="31"/>
        <v>0</v>
      </c>
      <c r="L27" s="78">
        <f t="shared" si="32"/>
        <v>0</v>
      </c>
      <c r="M27" s="78">
        <f t="shared" si="33"/>
        <v>0</v>
      </c>
      <c r="N27" s="79">
        <f t="shared" si="43"/>
        <v>0</v>
      </c>
      <c r="O27" s="78">
        <f t="shared" si="34"/>
        <v>0</v>
      </c>
      <c r="P27" s="79">
        <f t="shared" si="35"/>
        <v>0</v>
      </c>
      <c r="Q27" s="78">
        <f t="shared" si="36"/>
        <v>0</v>
      </c>
      <c r="R27" s="78">
        <f t="shared" si="37"/>
        <v>0</v>
      </c>
      <c r="S27" s="45">
        <f t="shared" si="38"/>
        <v>0</v>
      </c>
      <c r="T27" s="45">
        <f t="shared" si="39"/>
        <v>0</v>
      </c>
      <c r="U27" s="45">
        <f t="shared" si="40"/>
        <v>0</v>
      </c>
      <c r="V27" s="45">
        <f t="shared" si="41"/>
        <v>198029</v>
      </c>
      <c r="W27" s="45">
        <f t="shared" si="42"/>
        <v>127930</v>
      </c>
      <c r="X27" s="46">
        <f>V27-W27</f>
        <v>70099</v>
      </c>
      <c r="Y27" s="44">
        <f t="shared" si="19"/>
        <v>0.5479480966153365</v>
      </c>
      <c r="Z27" s="44"/>
    </row>
    <row r="28" spans="2:26" ht="12" customHeight="1" outlineLevel="1">
      <c r="B28" s="76" t="s">
        <v>40</v>
      </c>
      <c r="C28" s="78">
        <f t="shared" si="23"/>
        <v>0</v>
      </c>
      <c r="D28" s="78">
        <f t="shared" si="24"/>
        <v>0</v>
      </c>
      <c r="E28" s="78">
        <f t="shared" si="25"/>
        <v>0</v>
      </c>
      <c r="F28" s="78">
        <f t="shared" si="26"/>
        <v>345899</v>
      </c>
      <c r="G28" s="78">
        <f t="shared" si="27"/>
        <v>0</v>
      </c>
      <c r="H28" s="78">
        <f t="shared" si="28"/>
        <v>0</v>
      </c>
      <c r="I28" s="78">
        <f t="shared" si="29"/>
        <v>0</v>
      </c>
      <c r="J28" s="78">
        <f t="shared" si="30"/>
        <v>0</v>
      </c>
      <c r="K28" s="78">
        <f t="shared" si="31"/>
        <v>0</v>
      </c>
      <c r="L28" s="78">
        <f t="shared" si="32"/>
        <v>0</v>
      </c>
      <c r="M28" s="78">
        <f t="shared" si="33"/>
        <v>0</v>
      </c>
      <c r="N28" s="79">
        <f t="shared" si="43"/>
        <v>0</v>
      </c>
      <c r="O28" s="78">
        <f t="shared" si="34"/>
        <v>0</v>
      </c>
      <c r="P28" s="79">
        <f t="shared" si="35"/>
        <v>0</v>
      </c>
      <c r="Q28" s="78">
        <f t="shared" si="36"/>
        <v>0</v>
      </c>
      <c r="R28" s="78">
        <f t="shared" si="37"/>
        <v>0</v>
      </c>
      <c r="S28" s="45">
        <f t="shared" si="38"/>
        <v>0</v>
      </c>
      <c r="T28" s="45">
        <f t="shared" si="39"/>
        <v>0</v>
      </c>
      <c r="U28" s="45">
        <f t="shared" si="40"/>
        <v>0</v>
      </c>
      <c r="V28" s="45">
        <f t="shared" si="41"/>
        <v>345899</v>
      </c>
      <c r="W28" s="45">
        <f t="shared" si="42"/>
        <v>300000</v>
      </c>
      <c r="X28" s="46">
        <f>V28-W28</f>
        <v>45899</v>
      </c>
      <c r="Y28" s="44">
        <f t="shared" si="19"/>
        <v>0.15299666666666667</v>
      </c>
      <c r="Z28" s="44"/>
    </row>
    <row r="29" spans="2:26" ht="12" customHeight="1" outlineLevel="1">
      <c r="B29" s="76" t="s">
        <v>43</v>
      </c>
      <c r="C29" s="78">
        <f t="shared" si="23"/>
        <v>0</v>
      </c>
      <c r="D29" s="78">
        <f t="shared" si="24"/>
        <v>0</v>
      </c>
      <c r="E29" s="78">
        <f t="shared" si="25"/>
        <v>0</v>
      </c>
      <c r="F29" s="78">
        <f t="shared" si="26"/>
        <v>0</v>
      </c>
      <c r="G29" s="78">
        <f t="shared" si="27"/>
        <v>1188199</v>
      </c>
      <c r="H29" s="78">
        <f t="shared" si="28"/>
        <v>0</v>
      </c>
      <c r="I29" s="78">
        <f t="shared" si="29"/>
        <v>0</v>
      </c>
      <c r="J29" s="78">
        <f t="shared" si="30"/>
        <v>0</v>
      </c>
      <c r="K29" s="78">
        <f t="shared" si="31"/>
        <v>0</v>
      </c>
      <c r="L29" s="78">
        <f t="shared" si="32"/>
        <v>0</v>
      </c>
      <c r="M29" s="78">
        <f t="shared" si="33"/>
        <v>0</v>
      </c>
      <c r="N29" s="79">
        <f t="shared" si="43"/>
        <v>0</v>
      </c>
      <c r="O29" s="78">
        <f t="shared" si="34"/>
        <v>0</v>
      </c>
      <c r="P29" s="79">
        <f t="shared" si="35"/>
        <v>0</v>
      </c>
      <c r="Q29" s="78">
        <f t="shared" si="36"/>
        <v>0</v>
      </c>
      <c r="R29" s="78">
        <f t="shared" si="37"/>
        <v>0</v>
      </c>
      <c r="S29" s="45">
        <f t="shared" si="38"/>
        <v>0</v>
      </c>
      <c r="T29" s="45">
        <f t="shared" si="39"/>
        <v>0</v>
      </c>
      <c r="U29" s="45">
        <f t="shared" si="40"/>
        <v>0</v>
      </c>
      <c r="V29" s="45">
        <f t="shared" si="41"/>
        <v>1188199</v>
      </c>
      <c r="W29" s="45">
        <f t="shared" si="42"/>
        <v>648200</v>
      </c>
      <c r="X29" s="46">
        <f>V29-W29</f>
        <v>539999</v>
      </c>
      <c r="Y29" s="44">
        <f t="shared" si="19"/>
        <v>0.8330746683122493</v>
      </c>
      <c r="Z29" s="44"/>
    </row>
    <row r="30" spans="2:26" ht="12" customHeight="1" outlineLevel="1">
      <c r="B30" s="76" t="s">
        <v>44</v>
      </c>
      <c r="C30" s="78">
        <f t="shared" si="23"/>
        <v>0</v>
      </c>
      <c r="D30" s="78">
        <f t="shared" si="24"/>
        <v>0</v>
      </c>
      <c r="E30" s="78">
        <f t="shared" si="25"/>
        <v>0</v>
      </c>
      <c r="F30" s="78">
        <f t="shared" si="26"/>
        <v>0</v>
      </c>
      <c r="G30" s="78">
        <f t="shared" si="27"/>
        <v>0</v>
      </c>
      <c r="H30" s="78">
        <f t="shared" si="28"/>
        <v>0</v>
      </c>
      <c r="I30" s="78">
        <f t="shared" si="29"/>
        <v>0</v>
      </c>
      <c r="J30" s="78">
        <f t="shared" si="30"/>
        <v>0</v>
      </c>
      <c r="K30" s="78">
        <f t="shared" si="31"/>
        <v>0</v>
      </c>
      <c r="L30" s="78">
        <f t="shared" si="32"/>
        <v>0</v>
      </c>
      <c r="M30" s="78">
        <f t="shared" si="33"/>
        <v>0</v>
      </c>
      <c r="N30" s="79">
        <f t="shared" si="43"/>
        <v>0</v>
      </c>
      <c r="O30" s="78">
        <f t="shared" si="34"/>
        <v>0</v>
      </c>
      <c r="P30" s="79">
        <f t="shared" si="35"/>
        <v>0</v>
      </c>
      <c r="Q30" s="78">
        <f t="shared" si="36"/>
        <v>0</v>
      </c>
      <c r="R30" s="78">
        <f t="shared" si="37"/>
        <v>0</v>
      </c>
      <c r="S30" s="45">
        <f t="shared" si="38"/>
        <v>0</v>
      </c>
      <c r="T30" s="45">
        <f t="shared" si="39"/>
        <v>0</v>
      </c>
      <c r="U30" s="45">
        <f t="shared" si="40"/>
        <v>8985742</v>
      </c>
      <c r="V30" s="45">
        <f t="shared" si="41"/>
        <v>8985742</v>
      </c>
      <c r="W30" s="45">
        <f t="shared" si="42"/>
        <v>5602076</v>
      </c>
      <c r="X30" s="46">
        <f>V30-W30</f>
        <v>3383666</v>
      </c>
      <c r="Y30" s="44">
        <f t="shared" si="19"/>
        <v>0.6040021591995539</v>
      </c>
      <c r="Z30" s="44"/>
    </row>
    <row r="31" spans="2:26" ht="12" customHeight="1" outlineLevel="1">
      <c r="B31" s="76" t="s">
        <v>45</v>
      </c>
      <c r="C31" s="78">
        <f t="shared" si="23"/>
        <v>0</v>
      </c>
      <c r="D31" s="78">
        <f t="shared" si="24"/>
        <v>0</v>
      </c>
      <c r="E31" s="78">
        <f t="shared" si="25"/>
        <v>0</v>
      </c>
      <c r="F31" s="78">
        <f t="shared" si="26"/>
        <v>0</v>
      </c>
      <c r="G31" s="78">
        <f t="shared" si="27"/>
        <v>0</v>
      </c>
      <c r="H31" s="78">
        <f t="shared" si="28"/>
        <v>0</v>
      </c>
      <c r="I31" s="78">
        <f t="shared" si="29"/>
        <v>0</v>
      </c>
      <c r="J31" s="78">
        <f t="shared" si="30"/>
        <v>0</v>
      </c>
      <c r="K31" s="78">
        <f t="shared" si="31"/>
        <v>0</v>
      </c>
      <c r="L31" s="78">
        <f t="shared" si="32"/>
        <v>0</v>
      </c>
      <c r="M31" s="78">
        <f t="shared" si="33"/>
        <v>0</v>
      </c>
      <c r="N31" s="79">
        <f t="shared" si="43"/>
        <v>0</v>
      </c>
      <c r="O31" s="78">
        <f t="shared" si="34"/>
        <v>39827</v>
      </c>
      <c r="P31" s="79">
        <f t="shared" si="35"/>
        <v>0</v>
      </c>
      <c r="Q31" s="78">
        <f t="shared" si="36"/>
        <v>0</v>
      </c>
      <c r="R31" s="78">
        <f t="shared" si="37"/>
        <v>0</v>
      </c>
      <c r="S31" s="45">
        <f t="shared" si="38"/>
        <v>0</v>
      </c>
      <c r="T31" s="45">
        <f t="shared" si="39"/>
        <v>0</v>
      </c>
      <c r="U31" s="45">
        <f t="shared" si="40"/>
        <v>0</v>
      </c>
      <c r="V31" s="45">
        <f t="shared" si="41"/>
        <v>39827</v>
      </c>
      <c r="W31" s="45">
        <f t="shared" si="42"/>
        <v>26883</v>
      </c>
      <c r="X31" s="46">
        <f>V31-W31</f>
        <v>12944</v>
      </c>
      <c r="Y31" s="44">
        <f t="shared" si="19"/>
        <v>0.4814938808912696</v>
      </c>
      <c r="Z31" s="44"/>
    </row>
    <row r="32" spans="2:26" ht="12" customHeight="1" outlineLevel="1">
      <c r="B32" s="76" t="s">
        <v>59</v>
      </c>
      <c r="C32" s="78">
        <f t="shared" si="23"/>
        <v>0</v>
      </c>
      <c r="D32" s="78">
        <f t="shared" si="24"/>
        <v>0</v>
      </c>
      <c r="E32" s="78">
        <f t="shared" si="25"/>
        <v>0</v>
      </c>
      <c r="F32" s="78">
        <f t="shared" si="26"/>
        <v>0</v>
      </c>
      <c r="G32" s="78">
        <f t="shared" si="27"/>
        <v>0</v>
      </c>
      <c r="H32" s="78">
        <f t="shared" si="28"/>
        <v>157820</v>
      </c>
      <c r="I32" s="78">
        <f t="shared" si="29"/>
        <v>0</v>
      </c>
      <c r="J32" s="78">
        <f t="shared" si="30"/>
        <v>0</v>
      </c>
      <c r="K32" s="78">
        <f t="shared" si="31"/>
        <v>0</v>
      </c>
      <c r="L32" s="78">
        <f t="shared" si="32"/>
        <v>0</v>
      </c>
      <c r="M32" s="78">
        <f t="shared" si="33"/>
        <v>0</v>
      </c>
      <c r="N32" s="79">
        <f t="shared" si="43"/>
        <v>0</v>
      </c>
      <c r="O32" s="78">
        <f t="shared" si="34"/>
        <v>0</v>
      </c>
      <c r="P32" s="79">
        <f t="shared" si="35"/>
        <v>0</v>
      </c>
      <c r="Q32" s="78">
        <f t="shared" si="36"/>
        <v>0</v>
      </c>
      <c r="R32" s="78">
        <f t="shared" si="37"/>
        <v>0</v>
      </c>
      <c r="S32" s="45">
        <f t="shared" si="38"/>
        <v>0</v>
      </c>
      <c r="T32" s="45">
        <f t="shared" si="39"/>
        <v>0</v>
      </c>
      <c r="U32" s="45">
        <f t="shared" si="40"/>
        <v>0</v>
      </c>
      <c r="V32" s="45">
        <f>SUM(C32:U32)</f>
        <v>157820</v>
      </c>
      <c r="W32" s="45">
        <f t="shared" si="42"/>
        <v>138856</v>
      </c>
      <c r="X32" s="46">
        <f>V32-W32</f>
        <v>18964</v>
      </c>
      <c r="Y32" s="44">
        <f t="shared" si="19"/>
        <v>0.13657314051967506</v>
      </c>
      <c r="Z32" s="44"/>
    </row>
    <row r="33" spans="2:26" ht="12" customHeight="1" outlineLevel="1">
      <c r="B33" s="76" t="s">
        <v>71</v>
      </c>
      <c r="C33" s="78">
        <f t="shared" si="23"/>
        <v>0</v>
      </c>
      <c r="D33" s="78">
        <f t="shared" si="24"/>
        <v>0</v>
      </c>
      <c r="E33" s="78">
        <f t="shared" si="25"/>
        <v>0</v>
      </c>
      <c r="F33" s="78">
        <f t="shared" si="26"/>
        <v>0</v>
      </c>
      <c r="G33" s="78">
        <f t="shared" si="27"/>
        <v>0</v>
      </c>
      <c r="H33" s="78">
        <f t="shared" si="28"/>
        <v>6594</v>
      </c>
      <c r="I33" s="78">
        <f t="shared" si="29"/>
        <v>0</v>
      </c>
      <c r="J33" s="78">
        <f t="shared" si="30"/>
        <v>0</v>
      </c>
      <c r="K33" s="78">
        <f t="shared" si="31"/>
        <v>0</v>
      </c>
      <c r="L33" s="78">
        <f t="shared" si="32"/>
        <v>0</v>
      </c>
      <c r="M33" s="78">
        <f t="shared" si="33"/>
        <v>0</v>
      </c>
      <c r="N33" s="79">
        <f t="shared" si="43"/>
        <v>0</v>
      </c>
      <c r="O33" s="78">
        <f t="shared" si="34"/>
        <v>12030780</v>
      </c>
      <c r="P33" s="79">
        <f t="shared" si="35"/>
        <v>0</v>
      </c>
      <c r="Q33" s="78">
        <f t="shared" si="36"/>
        <v>0</v>
      </c>
      <c r="R33" s="78">
        <f t="shared" si="37"/>
        <v>133000</v>
      </c>
      <c r="S33" s="45">
        <f t="shared" si="38"/>
        <v>0</v>
      </c>
      <c r="T33" s="45">
        <f t="shared" si="39"/>
        <v>0</v>
      </c>
      <c r="U33" s="45">
        <f t="shared" si="40"/>
        <v>0</v>
      </c>
      <c r="V33" s="45">
        <f>_xlfn.IFERROR(VLOOKUP($B33,$B$83:$V$138,21,FALSE),0)</f>
        <v>12170374</v>
      </c>
      <c r="W33" s="45">
        <f t="shared" si="42"/>
        <v>11917843</v>
      </c>
      <c r="X33" s="46">
        <f>V33-W33</f>
        <v>252531</v>
      </c>
      <c r="Y33" s="44">
        <f t="shared" si="19"/>
        <v>0.02118932091990136</v>
      </c>
      <c r="Z33" s="44"/>
    </row>
    <row r="34" spans="1:26" s="49" customFormat="1" ht="12" customHeight="1" outlineLevel="1">
      <c r="A34" s="125"/>
      <c r="B34" s="81" t="s">
        <v>112</v>
      </c>
      <c r="C34" s="82">
        <f>SUM(C25:C33)</f>
        <v>1023</v>
      </c>
      <c r="D34" s="82">
        <f aca="true" t="shared" si="44" ref="D34:T34">SUM(D25:D33)</f>
        <v>273641</v>
      </c>
      <c r="E34" s="82">
        <f t="shared" si="44"/>
        <v>0</v>
      </c>
      <c r="F34" s="82">
        <f t="shared" si="44"/>
        <v>794173</v>
      </c>
      <c r="G34" s="82">
        <f t="shared" si="44"/>
        <v>1399399</v>
      </c>
      <c r="H34" s="82">
        <f t="shared" si="44"/>
        <v>326965</v>
      </c>
      <c r="I34" s="82">
        <f t="shared" si="44"/>
        <v>395792</v>
      </c>
      <c r="J34" s="82">
        <f t="shared" si="44"/>
        <v>2086669</v>
      </c>
      <c r="K34" s="82">
        <f t="shared" si="44"/>
        <v>2030</v>
      </c>
      <c r="L34" s="82">
        <f t="shared" si="44"/>
        <v>1747752</v>
      </c>
      <c r="M34" s="82">
        <f t="shared" si="44"/>
        <v>0</v>
      </c>
      <c r="N34" s="82">
        <f t="shared" si="44"/>
        <v>0</v>
      </c>
      <c r="O34" s="82">
        <f t="shared" si="44"/>
        <v>22561643</v>
      </c>
      <c r="P34" s="82">
        <f t="shared" si="44"/>
        <v>0</v>
      </c>
      <c r="Q34" s="82">
        <f t="shared" si="44"/>
        <v>104280</v>
      </c>
      <c r="R34" s="82">
        <f t="shared" si="44"/>
        <v>432999</v>
      </c>
      <c r="S34" s="82">
        <f t="shared" si="44"/>
        <v>0</v>
      </c>
      <c r="T34" s="82">
        <f t="shared" si="44"/>
        <v>33080</v>
      </c>
      <c r="U34" s="82">
        <f>SUM(U25:U33)</f>
        <v>9068594</v>
      </c>
      <c r="V34" s="82">
        <f>SUM(V25:V33)</f>
        <v>39228040</v>
      </c>
      <c r="W34" s="82">
        <f>SUM(W25:W33)</f>
        <v>31853206</v>
      </c>
      <c r="X34" s="82">
        <f>SUM(X25:X33)</f>
        <v>7374834</v>
      </c>
      <c r="Y34" s="47">
        <f t="shared" si="19"/>
        <v>0.23152564297609476</v>
      </c>
      <c r="Z34" s="47"/>
    </row>
    <row r="35" spans="2:26" ht="12" customHeight="1" outlineLevel="1">
      <c r="B35" s="83" t="s">
        <v>46</v>
      </c>
      <c r="C35" s="78">
        <f aca="true" t="shared" si="45" ref="C35:C46">_xlfn.IFERROR(VLOOKUP($B35,$B$83:$F$138,2,FALSE),0)</f>
        <v>0</v>
      </c>
      <c r="D35" s="78">
        <f aca="true" t="shared" si="46" ref="D35:D46">_xlfn.IFERROR(VLOOKUP(B35,$B$83:$D$138,3,FALSE),0)</f>
        <v>0</v>
      </c>
      <c r="E35" s="78">
        <f aca="true" t="shared" si="47" ref="E35:E46">_xlfn.IFERROR(VLOOKUP($B35,$B$83:$E$138,4,FALSE),0)</f>
        <v>0</v>
      </c>
      <c r="F35" s="78">
        <f aca="true" t="shared" si="48" ref="F35:F46">_xlfn.IFERROR(VLOOKUP($B35,$B$83:$F$138,5,FALSE),0)</f>
        <v>0</v>
      </c>
      <c r="G35" s="78">
        <f aca="true" t="shared" si="49" ref="G35:G46">_xlfn.IFERROR(VLOOKUP($B35,$B$83:$G$138,6,FALSE),0)</f>
        <v>0</v>
      </c>
      <c r="H35" s="78">
        <f aca="true" t="shared" si="50" ref="H35:H46">_xlfn.IFERROR(VLOOKUP($B35,$B$83:$H$138,7,FALSE),0)</f>
        <v>0</v>
      </c>
      <c r="I35" s="78">
        <f aca="true" t="shared" si="51" ref="I35:I46">_xlfn.IFERROR(VLOOKUP($B35,$B$83:$I$138,8,FALSE),0)</f>
        <v>0</v>
      </c>
      <c r="J35" s="78">
        <f aca="true" t="shared" si="52" ref="J35:J46">_xlfn.IFERROR(VLOOKUP($B35,$B$83:$J$138,9,FALSE),0)</f>
        <v>0</v>
      </c>
      <c r="K35" s="78">
        <f aca="true" t="shared" si="53" ref="K35:K46">_xlfn.IFERROR(VLOOKUP($B35,$B$83:$K$138,10,FALSE),0)</f>
        <v>0</v>
      </c>
      <c r="L35" s="78">
        <f aca="true" t="shared" si="54" ref="L35:L46">_xlfn.IFERROR(VLOOKUP($B35,$B$83:$L$138,11,FALSE),0)</f>
        <v>0</v>
      </c>
      <c r="M35" s="78">
        <f aca="true" t="shared" si="55" ref="M35:M46">_xlfn.IFERROR(VLOOKUP($B35,$B$83:$M$138,12,FALSE),0)</f>
        <v>0</v>
      </c>
      <c r="N35" s="79">
        <f aca="true" t="shared" si="56" ref="N35:N46">_xlfn.IFERROR(VLOOKUP($B35,$B$83:$N$138,13,FALSE),0)</f>
        <v>0</v>
      </c>
      <c r="O35" s="78">
        <f>(_xlfn.IFERROR(VLOOKUP($B35,$B$83:$O$138,14,FALSE),0))</f>
        <v>0</v>
      </c>
      <c r="P35" s="79">
        <f aca="true" t="shared" si="57" ref="P35:P46">_xlfn.IFERROR(VLOOKUP($B35,$B$83:$P$138,15,FALSE),0)</f>
        <v>0</v>
      </c>
      <c r="Q35" s="78">
        <f aca="true" t="shared" si="58" ref="Q35:Q46">_xlfn.IFERROR(VLOOKUP($B35,$B$83:$R$138,16,FALSE),0)</f>
        <v>6849342</v>
      </c>
      <c r="R35" s="78">
        <f aca="true" t="shared" si="59" ref="R35:R46">_xlfn.IFERROR(VLOOKUP($B35,$B$83:$R$138,17,FALSE),0)</f>
        <v>13526418</v>
      </c>
      <c r="S35" s="45">
        <f aca="true" t="shared" si="60" ref="S35:S46">_xlfn.IFERROR(VLOOKUP($B35,$B$83:$T$138,18,FALSE),0)</f>
        <v>0</v>
      </c>
      <c r="T35" s="45">
        <f aca="true" t="shared" si="61" ref="T35:T46">_xlfn.IFERROR(VLOOKUP($B35,$B$83:$T$138,19,FALSE),0)</f>
        <v>0</v>
      </c>
      <c r="U35" s="45">
        <f aca="true" t="shared" si="62" ref="U35:U46">_xlfn.IFERROR(VLOOKUP($B35,$B$83:$V$138,20,FALSE),0)</f>
        <v>55136</v>
      </c>
      <c r="V35" s="45">
        <f aca="true" t="shared" si="63" ref="V35:V46">_xlfn.IFERROR(VLOOKUP($B35,$B$83:$V$138,21,FALSE),0)</f>
        <v>20291716</v>
      </c>
      <c r="W35" s="45">
        <f aca="true" t="shared" si="64" ref="W35:W46">_xlfn.IFERROR(VLOOKUP($B35,$B$83:$X$138,22,FALSE),0)</f>
        <v>12115703</v>
      </c>
      <c r="X35" s="46">
        <f aca="true" t="shared" si="65" ref="X35:X46">V35-W35</f>
        <v>8176013</v>
      </c>
      <c r="Y35" s="44">
        <f t="shared" si="19"/>
        <v>0.6748277834146315</v>
      </c>
      <c r="Z35" s="44"/>
    </row>
    <row r="36" spans="2:26" ht="12" customHeight="1" outlineLevel="1">
      <c r="B36" s="76" t="s">
        <v>49</v>
      </c>
      <c r="C36" s="78">
        <f t="shared" si="45"/>
        <v>0</v>
      </c>
      <c r="D36" s="78">
        <f t="shared" si="46"/>
        <v>0</v>
      </c>
      <c r="E36" s="78">
        <f t="shared" si="47"/>
        <v>0</v>
      </c>
      <c r="F36" s="78">
        <f t="shared" si="48"/>
        <v>0</v>
      </c>
      <c r="G36" s="78">
        <f t="shared" si="49"/>
        <v>0</v>
      </c>
      <c r="H36" s="78">
        <f t="shared" si="50"/>
        <v>0</v>
      </c>
      <c r="I36" s="78">
        <f t="shared" si="51"/>
        <v>0</v>
      </c>
      <c r="J36" s="78">
        <f t="shared" si="52"/>
        <v>0</v>
      </c>
      <c r="K36" s="78">
        <f t="shared" si="53"/>
        <v>0</v>
      </c>
      <c r="L36" s="78">
        <f t="shared" si="54"/>
        <v>0</v>
      </c>
      <c r="M36" s="78">
        <f t="shared" si="55"/>
        <v>0</v>
      </c>
      <c r="N36" s="79">
        <f t="shared" si="56"/>
        <v>0</v>
      </c>
      <c r="O36" s="78">
        <f>(_xlfn.IFERROR(VLOOKUP($B36,$B$83:$O$138,14,FALSE),0))</f>
        <v>0</v>
      </c>
      <c r="P36" s="79">
        <f t="shared" si="57"/>
        <v>0</v>
      </c>
      <c r="Q36" s="78">
        <f t="shared" si="58"/>
        <v>0</v>
      </c>
      <c r="R36" s="78">
        <f t="shared" si="59"/>
        <v>127820</v>
      </c>
      <c r="S36" s="45">
        <f t="shared" si="60"/>
        <v>0</v>
      </c>
      <c r="T36" s="45">
        <f t="shared" si="61"/>
        <v>0</v>
      </c>
      <c r="U36" s="45">
        <f t="shared" si="62"/>
        <v>0</v>
      </c>
      <c r="V36" s="45">
        <f t="shared" si="63"/>
        <v>127820</v>
      </c>
      <c r="W36" s="45">
        <f t="shared" si="64"/>
        <v>40900</v>
      </c>
      <c r="X36" s="46">
        <f t="shared" si="65"/>
        <v>86920</v>
      </c>
      <c r="Y36" s="44">
        <f t="shared" si="19"/>
        <v>2.1251833740831296</v>
      </c>
      <c r="Z36" s="44"/>
    </row>
    <row r="37" spans="2:26" ht="12" customHeight="1" outlineLevel="1">
      <c r="B37" s="83" t="s">
        <v>54</v>
      </c>
      <c r="C37" s="78">
        <f t="shared" si="45"/>
        <v>0</v>
      </c>
      <c r="D37" s="78">
        <f t="shared" si="46"/>
        <v>0</v>
      </c>
      <c r="E37" s="78">
        <f t="shared" si="47"/>
        <v>0</v>
      </c>
      <c r="F37" s="78">
        <f t="shared" si="48"/>
        <v>0</v>
      </c>
      <c r="G37" s="78">
        <f t="shared" si="49"/>
        <v>0</v>
      </c>
      <c r="H37" s="78">
        <f t="shared" si="50"/>
        <v>0</v>
      </c>
      <c r="I37" s="78">
        <f t="shared" si="51"/>
        <v>0</v>
      </c>
      <c r="J37" s="78">
        <f t="shared" si="52"/>
        <v>0</v>
      </c>
      <c r="K37" s="78">
        <f t="shared" si="53"/>
        <v>0</v>
      </c>
      <c r="L37" s="78">
        <f t="shared" si="54"/>
        <v>0</v>
      </c>
      <c r="M37" s="78">
        <f t="shared" si="55"/>
        <v>0</v>
      </c>
      <c r="N37" s="79">
        <f t="shared" si="56"/>
        <v>0</v>
      </c>
      <c r="O37" s="78">
        <f>(_xlfn.IFERROR(VLOOKUP($B37,$B$83:$O$138,14,FALSE),0))</f>
        <v>49595</v>
      </c>
      <c r="P37" s="79">
        <f t="shared" si="57"/>
        <v>0</v>
      </c>
      <c r="Q37" s="78">
        <f t="shared" si="58"/>
        <v>0</v>
      </c>
      <c r="R37" s="78">
        <f t="shared" si="59"/>
        <v>459556</v>
      </c>
      <c r="S37" s="45">
        <f t="shared" si="60"/>
        <v>0</v>
      </c>
      <c r="T37" s="45">
        <f t="shared" si="61"/>
        <v>0</v>
      </c>
      <c r="U37" s="45">
        <f t="shared" si="62"/>
        <v>0</v>
      </c>
      <c r="V37" s="45">
        <f t="shared" si="63"/>
        <v>509151</v>
      </c>
      <c r="W37" s="45">
        <f t="shared" si="64"/>
        <v>37664</v>
      </c>
      <c r="X37" s="46">
        <f t="shared" si="65"/>
        <v>471487</v>
      </c>
      <c r="Y37" s="44">
        <f t="shared" si="19"/>
        <v>12.518240229396772</v>
      </c>
      <c r="Z37" s="44"/>
    </row>
    <row r="38" spans="2:26" ht="12" customHeight="1" outlineLevel="1">
      <c r="B38" s="76" t="s">
        <v>55</v>
      </c>
      <c r="C38" s="78">
        <f t="shared" si="45"/>
        <v>0</v>
      </c>
      <c r="D38" s="78">
        <f t="shared" si="46"/>
        <v>0</v>
      </c>
      <c r="E38" s="78">
        <f t="shared" si="47"/>
        <v>0</v>
      </c>
      <c r="F38" s="78">
        <f t="shared" si="48"/>
        <v>0</v>
      </c>
      <c r="G38" s="78">
        <f t="shared" si="49"/>
        <v>0</v>
      </c>
      <c r="H38" s="78">
        <f t="shared" si="50"/>
        <v>0</v>
      </c>
      <c r="I38" s="78">
        <f t="shared" si="51"/>
        <v>0</v>
      </c>
      <c r="J38" s="78">
        <f t="shared" si="52"/>
        <v>0</v>
      </c>
      <c r="K38" s="78">
        <f t="shared" si="53"/>
        <v>0</v>
      </c>
      <c r="L38" s="78">
        <f t="shared" si="54"/>
        <v>0</v>
      </c>
      <c r="M38" s="78">
        <f t="shared" si="55"/>
        <v>124978</v>
      </c>
      <c r="N38" s="79">
        <f t="shared" si="56"/>
        <v>0</v>
      </c>
      <c r="O38" s="78">
        <f>_xlfn.IFERROR(VLOOKUP($B38,$B$83:$O$138,14,FALSE),0)</f>
        <v>55822</v>
      </c>
      <c r="P38" s="79">
        <f t="shared" si="57"/>
        <v>0</v>
      </c>
      <c r="Q38" s="78">
        <f t="shared" si="58"/>
        <v>0</v>
      </c>
      <c r="R38" s="78">
        <f t="shared" si="59"/>
        <v>99850</v>
      </c>
      <c r="S38" s="45">
        <f t="shared" si="60"/>
        <v>0</v>
      </c>
      <c r="T38" s="45">
        <f t="shared" si="61"/>
        <v>0</v>
      </c>
      <c r="U38" s="45">
        <f t="shared" si="62"/>
        <v>0</v>
      </c>
      <c r="V38" s="45">
        <f t="shared" si="63"/>
        <v>280650</v>
      </c>
      <c r="W38" s="45">
        <f t="shared" si="64"/>
        <v>309415</v>
      </c>
      <c r="X38" s="46">
        <f t="shared" si="65"/>
        <v>-28765</v>
      </c>
      <c r="Y38" s="44">
        <f t="shared" si="19"/>
        <v>-0.09296575796260685</v>
      </c>
      <c r="Z38" s="44"/>
    </row>
    <row r="39" spans="2:26" ht="12" customHeight="1" outlineLevel="1">
      <c r="B39" s="76" t="s">
        <v>70</v>
      </c>
      <c r="C39" s="78">
        <f t="shared" si="45"/>
        <v>644</v>
      </c>
      <c r="D39" s="78">
        <f t="shared" si="46"/>
        <v>0</v>
      </c>
      <c r="E39" s="78">
        <f t="shared" si="47"/>
        <v>0</v>
      </c>
      <c r="F39" s="78">
        <f t="shared" si="48"/>
        <v>0</v>
      </c>
      <c r="G39" s="78">
        <f t="shared" si="49"/>
        <v>0</v>
      </c>
      <c r="H39" s="78">
        <f t="shared" si="50"/>
        <v>0</v>
      </c>
      <c r="I39" s="78">
        <f t="shared" si="51"/>
        <v>801</v>
      </c>
      <c r="J39" s="78">
        <f t="shared" si="52"/>
        <v>0</v>
      </c>
      <c r="K39" s="78">
        <f t="shared" si="53"/>
        <v>3892</v>
      </c>
      <c r="L39" s="78">
        <f t="shared" si="54"/>
        <v>0</v>
      </c>
      <c r="M39" s="78">
        <f t="shared" si="55"/>
        <v>0</v>
      </c>
      <c r="N39" s="79">
        <f t="shared" si="56"/>
        <v>0</v>
      </c>
      <c r="O39" s="78">
        <f>(_xlfn.IFERROR(VLOOKUP($B39,$B$83:$O$138,14,FALSE),0))</f>
        <v>0</v>
      </c>
      <c r="P39" s="79">
        <f t="shared" si="57"/>
        <v>0</v>
      </c>
      <c r="Q39" s="78">
        <f t="shared" si="58"/>
        <v>0</v>
      </c>
      <c r="R39" s="78">
        <f t="shared" si="59"/>
        <v>20490</v>
      </c>
      <c r="S39" s="45">
        <f t="shared" si="60"/>
        <v>0</v>
      </c>
      <c r="T39" s="45">
        <f t="shared" si="61"/>
        <v>600</v>
      </c>
      <c r="U39" s="45">
        <f t="shared" si="62"/>
        <v>0</v>
      </c>
      <c r="V39" s="45">
        <f t="shared" si="63"/>
        <v>26427</v>
      </c>
      <c r="W39" s="45">
        <f t="shared" si="64"/>
        <v>32699</v>
      </c>
      <c r="X39" s="46">
        <f t="shared" si="65"/>
        <v>-6272</v>
      </c>
      <c r="Y39" s="44">
        <f t="shared" si="19"/>
        <v>-0.19181014709929967</v>
      </c>
      <c r="Z39" s="44"/>
    </row>
    <row r="40" spans="2:26" ht="12" customHeight="1" outlineLevel="1">
      <c r="B40" s="76" t="s">
        <v>74</v>
      </c>
      <c r="C40" s="78">
        <f t="shared" si="45"/>
        <v>0</v>
      </c>
      <c r="D40" s="78">
        <f t="shared" si="46"/>
        <v>0</v>
      </c>
      <c r="E40" s="78">
        <f t="shared" si="47"/>
        <v>0</v>
      </c>
      <c r="F40" s="78">
        <f t="shared" si="48"/>
        <v>0</v>
      </c>
      <c r="G40" s="78">
        <f t="shared" si="49"/>
        <v>0</v>
      </c>
      <c r="H40" s="78">
        <f t="shared" si="50"/>
        <v>0</v>
      </c>
      <c r="I40" s="78">
        <f t="shared" si="51"/>
        <v>0</v>
      </c>
      <c r="J40" s="78">
        <f t="shared" si="52"/>
        <v>0</v>
      </c>
      <c r="K40" s="78">
        <f t="shared" si="53"/>
        <v>0</v>
      </c>
      <c r="L40" s="78">
        <f t="shared" si="54"/>
        <v>2798</v>
      </c>
      <c r="M40" s="78">
        <f t="shared" si="55"/>
        <v>0</v>
      </c>
      <c r="N40" s="79">
        <f t="shared" si="56"/>
        <v>0</v>
      </c>
      <c r="O40" s="78">
        <f>(_xlfn.IFERROR(VLOOKUP($B40,$B$83:$O$138,14,FALSE),0))</f>
        <v>0</v>
      </c>
      <c r="P40" s="79">
        <f t="shared" si="57"/>
        <v>0</v>
      </c>
      <c r="Q40" s="78">
        <f t="shared" si="58"/>
        <v>79121</v>
      </c>
      <c r="R40" s="78">
        <f t="shared" si="59"/>
        <v>3937862</v>
      </c>
      <c r="S40" s="45">
        <f t="shared" si="60"/>
        <v>0</v>
      </c>
      <c r="T40" s="45">
        <f t="shared" si="61"/>
        <v>0</v>
      </c>
      <c r="U40" s="45">
        <f t="shared" si="62"/>
        <v>99216</v>
      </c>
      <c r="V40" s="45">
        <f t="shared" si="63"/>
        <v>4118997</v>
      </c>
      <c r="W40" s="45">
        <f t="shared" si="64"/>
        <v>3063969</v>
      </c>
      <c r="X40" s="46">
        <f t="shared" si="65"/>
        <v>1055028</v>
      </c>
      <c r="Y40" s="44">
        <f t="shared" si="19"/>
        <v>0.3443337710009468</v>
      </c>
      <c r="Z40" s="44"/>
    </row>
    <row r="41" spans="2:26" ht="12" customHeight="1" outlineLevel="1">
      <c r="B41" s="76" t="s">
        <v>78</v>
      </c>
      <c r="C41" s="78">
        <f t="shared" si="45"/>
        <v>0</v>
      </c>
      <c r="D41" s="78">
        <f t="shared" si="46"/>
        <v>0</v>
      </c>
      <c r="E41" s="78">
        <f t="shared" si="47"/>
        <v>0</v>
      </c>
      <c r="F41" s="78">
        <f t="shared" si="48"/>
        <v>0</v>
      </c>
      <c r="G41" s="78">
        <f t="shared" si="49"/>
        <v>0</v>
      </c>
      <c r="H41" s="78">
        <f t="shared" si="50"/>
        <v>0</v>
      </c>
      <c r="I41" s="78">
        <f t="shared" si="51"/>
        <v>0</v>
      </c>
      <c r="J41" s="78">
        <f t="shared" si="52"/>
        <v>0</v>
      </c>
      <c r="K41" s="78">
        <f t="shared" si="53"/>
        <v>0</v>
      </c>
      <c r="L41" s="78">
        <f t="shared" si="54"/>
        <v>0</v>
      </c>
      <c r="M41" s="78">
        <f t="shared" si="55"/>
        <v>0</v>
      </c>
      <c r="N41" s="79">
        <f t="shared" si="56"/>
        <v>0</v>
      </c>
      <c r="O41" s="78">
        <f>_xlfn.IFERROR(VLOOKUP($B41,$B$83:$O$138,14,FALSE),0)</f>
        <v>0</v>
      </c>
      <c r="P41" s="79">
        <f t="shared" si="57"/>
        <v>0</v>
      </c>
      <c r="Q41" s="78">
        <f t="shared" si="58"/>
        <v>0</v>
      </c>
      <c r="R41" s="78">
        <f t="shared" si="59"/>
        <v>992000</v>
      </c>
      <c r="S41" s="45">
        <f t="shared" si="60"/>
        <v>0</v>
      </c>
      <c r="T41" s="45">
        <f t="shared" si="61"/>
        <v>0</v>
      </c>
      <c r="U41" s="45">
        <f t="shared" si="62"/>
        <v>0</v>
      </c>
      <c r="V41" s="45">
        <f t="shared" si="63"/>
        <v>992000</v>
      </c>
      <c r="W41" s="45">
        <f t="shared" si="64"/>
        <v>1162505</v>
      </c>
      <c r="X41" s="46">
        <f t="shared" si="65"/>
        <v>-170505</v>
      </c>
      <c r="Y41" s="44">
        <f t="shared" si="19"/>
        <v>-0.14667033690177678</v>
      </c>
      <c r="Z41" s="44"/>
    </row>
    <row r="42" spans="2:26" ht="12" customHeight="1" outlineLevel="1">
      <c r="B42" s="83" t="s">
        <v>79</v>
      </c>
      <c r="C42" s="78">
        <f t="shared" si="45"/>
        <v>0</v>
      </c>
      <c r="D42" s="78">
        <f t="shared" si="46"/>
        <v>0</v>
      </c>
      <c r="E42" s="78">
        <f t="shared" si="47"/>
        <v>0</v>
      </c>
      <c r="F42" s="78">
        <f t="shared" si="48"/>
        <v>0</v>
      </c>
      <c r="G42" s="78">
        <f t="shared" si="49"/>
        <v>0</v>
      </c>
      <c r="H42" s="78">
        <f t="shared" si="50"/>
        <v>0</v>
      </c>
      <c r="I42" s="78">
        <f t="shared" si="51"/>
        <v>0</v>
      </c>
      <c r="J42" s="78">
        <f t="shared" si="52"/>
        <v>0</v>
      </c>
      <c r="K42" s="78">
        <f t="shared" si="53"/>
        <v>0</v>
      </c>
      <c r="L42" s="78">
        <f t="shared" si="54"/>
        <v>0</v>
      </c>
      <c r="M42" s="78">
        <f t="shared" si="55"/>
        <v>0</v>
      </c>
      <c r="N42" s="79">
        <f t="shared" si="56"/>
        <v>0</v>
      </c>
      <c r="O42" s="78">
        <f>(_xlfn.IFERROR(VLOOKUP($B42,$B$83:$O$138,14,FALSE),0))</f>
        <v>0</v>
      </c>
      <c r="P42" s="79">
        <f t="shared" si="57"/>
        <v>0</v>
      </c>
      <c r="Q42" s="78">
        <f t="shared" si="58"/>
        <v>0</v>
      </c>
      <c r="R42" s="78">
        <f t="shared" si="59"/>
        <v>722590</v>
      </c>
      <c r="S42" s="45">
        <f t="shared" si="60"/>
        <v>0</v>
      </c>
      <c r="T42" s="45">
        <f t="shared" si="61"/>
        <v>0</v>
      </c>
      <c r="U42" s="45">
        <f t="shared" si="62"/>
        <v>0</v>
      </c>
      <c r="V42" s="45">
        <f t="shared" si="63"/>
        <v>722590</v>
      </c>
      <c r="W42" s="45">
        <f t="shared" si="64"/>
        <v>600000</v>
      </c>
      <c r="X42" s="46">
        <f t="shared" si="65"/>
        <v>122590</v>
      </c>
      <c r="Y42" s="44">
        <f t="shared" si="19"/>
        <v>0.20431666666666667</v>
      </c>
      <c r="Z42" s="44"/>
    </row>
    <row r="43" spans="2:26" ht="12" customHeight="1" outlineLevel="1">
      <c r="B43" s="83" t="s">
        <v>80</v>
      </c>
      <c r="C43" s="78">
        <f t="shared" si="45"/>
        <v>0</v>
      </c>
      <c r="D43" s="78">
        <f t="shared" si="46"/>
        <v>0</v>
      </c>
      <c r="E43" s="78">
        <f t="shared" si="47"/>
        <v>0</v>
      </c>
      <c r="F43" s="78">
        <f t="shared" si="48"/>
        <v>0</v>
      </c>
      <c r="G43" s="78">
        <f t="shared" si="49"/>
        <v>0</v>
      </c>
      <c r="H43" s="78">
        <f t="shared" si="50"/>
        <v>0</v>
      </c>
      <c r="I43" s="78">
        <f t="shared" si="51"/>
        <v>0</v>
      </c>
      <c r="J43" s="78">
        <f t="shared" si="52"/>
        <v>0</v>
      </c>
      <c r="K43" s="78">
        <f t="shared" si="53"/>
        <v>0</v>
      </c>
      <c r="L43" s="78">
        <f t="shared" si="54"/>
        <v>0</v>
      </c>
      <c r="M43" s="78">
        <f t="shared" si="55"/>
        <v>0</v>
      </c>
      <c r="N43" s="79">
        <f t="shared" si="56"/>
        <v>0</v>
      </c>
      <c r="O43" s="78">
        <f>(_xlfn.IFERROR(VLOOKUP($B43,$B$83:$O$138,14,FALSE),0))</f>
        <v>0</v>
      </c>
      <c r="P43" s="79">
        <f t="shared" si="57"/>
        <v>0</v>
      </c>
      <c r="Q43" s="78">
        <f t="shared" si="58"/>
        <v>0</v>
      </c>
      <c r="R43" s="78">
        <f t="shared" si="59"/>
        <v>70600</v>
      </c>
      <c r="S43" s="45">
        <f t="shared" si="60"/>
        <v>0</v>
      </c>
      <c r="T43" s="45">
        <f t="shared" si="61"/>
        <v>0</v>
      </c>
      <c r="U43" s="45">
        <f t="shared" si="62"/>
        <v>0</v>
      </c>
      <c r="V43" s="45">
        <f t="shared" si="63"/>
        <v>70600</v>
      </c>
      <c r="W43" s="45">
        <f t="shared" si="64"/>
        <v>70600</v>
      </c>
      <c r="X43" s="46">
        <f t="shared" si="65"/>
        <v>0</v>
      </c>
      <c r="Y43" s="44">
        <f t="shared" si="19"/>
        <v>0</v>
      </c>
      <c r="Z43" s="44"/>
    </row>
    <row r="44" spans="2:26" ht="12" customHeight="1" outlineLevel="1">
      <c r="B44" s="83" t="s">
        <v>81</v>
      </c>
      <c r="C44" s="78">
        <f t="shared" si="45"/>
        <v>0</v>
      </c>
      <c r="D44" s="78">
        <f t="shared" si="46"/>
        <v>0</v>
      </c>
      <c r="E44" s="78">
        <f t="shared" si="47"/>
        <v>0</v>
      </c>
      <c r="F44" s="78">
        <f t="shared" si="48"/>
        <v>0</v>
      </c>
      <c r="G44" s="78">
        <f t="shared" si="49"/>
        <v>0</v>
      </c>
      <c r="H44" s="78">
        <f t="shared" si="50"/>
        <v>0</v>
      </c>
      <c r="I44" s="78">
        <f t="shared" si="51"/>
        <v>0</v>
      </c>
      <c r="J44" s="78">
        <f t="shared" si="52"/>
        <v>0</v>
      </c>
      <c r="K44" s="78">
        <f t="shared" si="53"/>
        <v>0</v>
      </c>
      <c r="L44" s="78">
        <f t="shared" si="54"/>
        <v>0</v>
      </c>
      <c r="M44" s="78">
        <f t="shared" si="55"/>
        <v>0</v>
      </c>
      <c r="N44" s="79">
        <f t="shared" si="56"/>
        <v>0</v>
      </c>
      <c r="O44" s="78">
        <f>(_xlfn.IFERROR(VLOOKUP($B44,$B$83:$O$138,14,FALSE),0))</f>
        <v>0</v>
      </c>
      <c r="P44" s="79">
        <f t="shared" si="57"/>
        <v>0</v>
      </c>
      <c r="Q44" s="78">
        <f t="shared" si="58"/>
        <v>0</v>
      </c>
      <c r="R44" s="78">
        <f t="shared" si="59"/>
        <v>2464256</v>
      </c>
      <c r="S44" s="45">
        <f t="shared" si="60"/>
        <v>0</v>
      </c>
      <c r="T44" s="45">
        <f t="shared" si="61"/>
        <v>0</v>
      </c>
      <c r="U44" s="45">
        <f t="shared" si="62"/>
        <v>0</v>
      </c>
      <c r="V44" s="45">
        <f t="shared" si="63"/>
        <v>2464256</v>
      </c>
      <c r="W44" s="45">
        <f t="shared" si="64"/>
        <v>2200000</v>
      </c>
      <c r="X44" s="46">
        <f t="shared" si="65"/>
        <v>264256</v>
      </c>
      <c r="Y44" s="44">
        <f t="shared" si="19"/>
        <v>0.12011636363636363</v>
      </c>
      <c r="Z44" s="44"/>
    </row>
    <row r="45" spans="2:26" ht="12" customHeight="1">
      <c r="B45" s="76" t="s">
        <v>84</v>
      </c>
      <c r="C45" s="78">
        <f t="shared" si="45"/>
        <v>0</v>
      </c>
      <c r="D45" s="78">
        <f t="shared" si="46"/>
        <v>0</v>
      </c>
      <c r="E45" s="78">
        <f t="shared" si="47"/>
        <v>0</v>
      </c>
      <c r="F45" s="78">
        <f t="shared" si="48"/>
        <v>0</v>
      </c>
      <c r="G45" s="78">
        <f t="shared" si="49"/>
        <v>0</v>
      </c>
      <c r="H45" s="78">
        <f t="shared" si="50"/>
        <v>0</v>
      </c>
      <c r="I45" s="78">
        <f t="shared" si="51"/>
        <v>0</v>
      </c>
      <c r="J45" s="78">
        <f t="shared" si="52"/>
        <v>0</v>
      </c>
      <c r="K45" s="78">
        <f t="shared" si="53"/>
        <v>0</v>
      </c>
      <c r="L45" s="78">
        <f t="shared" si="54"/>
        <v>0</v>
      </c>
      <c r="M45" s="78">
        <f t="shared" si="55"/>
        <v>0</v>
      </c>
      <c r="N45" s="79">
        <f t="shared" si="56"/>
        <v>0</v>
      </c>
      <c r="O45" s="78">
        <f>(_xlfn.IFERROR(VLOOKUP($B45,$B$83:$O$138,14,FALSE),0))</f>
        <v>0</v>
      </c>
      <c r="P45" s="79">
        <f t="shared" si="57"/>
        <v>0</v>
      </c>
      <c r="Q45" s="78">
        <f t="shared" si="58"/>
        <v>0</v>
      </c>
      <c r="R45" s="78">
        <f t="shared" si="59"/>
        <v>151525</v>
      </c>
      <c r="S45" s="45">
        <f t="shared" si="60"/>
        <v>0</v>
      </c>
      <c r="T45" s="45">
        <f t="shared" si="61"/>
        <v>0</v>
      </c>
      <c r="U45" s="45">
        <f t="shared" si="62"/>
        <v>0</v>
      </c>
      <c r="V45" s="45">
        <f t="shared" si="63"/>
        <v>151525</v>
      </c>
      <c r="W45" s="45">
        <f t="shared" si="64"/>
        <v>160509</v>
      </c>
      <c r="X45" s="46">
        <f t="shared" si="65"/>
        <v>-8984</v>
      </c>
      <c r="Y45" s="44">
        <f t="shared" si="19"/>
        <v>-0.05597193926820303</v>
      </c>
      <c r="Z45" s="44"/>
    </row>
    <row r="46" spans="2:26" ht="12" customHeight="1">
      <c r="B46" s="76" t="s">
        <v>89</v>
      </c>
      <c r="C46" s="78">
        <f t="shared" si="45"/>
        <v>0</v>
      </c>
      <c r="D46" s="78">
        <f t="shared" si="46"/>
        <v>0</v>
      </c>
      <c r="E46" s="78">
        <f t="shared" si="47"/>
        <v>0</v>
      </c>
      <c r="F46" s="78">
        <f t="shared" si="48"/>
        <v>0</v>
      </c>
      <c r="G46" s="78">
        <f t="shared" si="49"/>
        <v>0</v>
      </c>
      <c r="H46" s="78">
        <f t="shared" si="50"/>
        <v>0</v>
      </c>
      <c r="I46" s="78">
        <f t="shared" si="51"/>
        <v>0</v>
      </c>
      <c r="J46" s="78">
        <f t="shared" si="52"/>
        <v>0</v>
      </c>
      <c r="K46" s="78">
        <f t="shared" si="53"/>
        <v>0</v>
      </c>
      <c r="L46" s="78">
        <f t="shared" si="54"/>
        <v>1979</v>
      </c>
      <c r="M46" s="78">
        <f t="shared" si="55"/>
        <v>0</v>
      </c>
      <c r="N46" s="79">
        <f t="shared" si="56"/>
        <v>0</v>
      </c>
      <c r="O46" s="78">
        <f>(_xlfn.IFERROR(VLOOKUP($B46,$B$83:$O$138,14,FALSE),0))</f>
        <v>28257</v>
      </c>
      <c r="P46" s="79">
        <f t="shared" si="57"/>
        <v>0</v>
      </c>
      <c r="Q46" s="78">
        <f t="shared" si="58"/>
        <v>0</v>
      </c>
      <c r="R46" s="78">
        <f t="shared" si="59"/>
        <v>189600</v>
      </c>
      <c r="S46" s="45">
        <f t="shared" si="60"/>
        <v>0</v>
      </c>
      <c r="T46" s="45">
        <f t="shared" si="61"/>
        <v>0</v>
      </c>
      <c r="U46" s="45">
        <f t="shared" si="62"/>
        <v>87054</v>
      </c>
      <c r="V46" s="45">
        <f t="shared" si="63"/>
        <v>306890</v>
      </c>
      <c r="W46" s="45">
        <f t="shared" si="64"/>
        <v>268553</v>
      </c>
      <c r="X46" s="46">
        <f t="shared" si="65"/>
        <v>38337</v>
      </c>
      <c r="Y46" s="44">
        <f t="shared" si="19"/>
        <v>0.14275394428660265</v>
      </c>
      <c r="Z46" s="44"/>
    </row>
    <row r="47" spans="1:26" s="49" customFormat="1" ht="12" customHeight="1">
      <c r="A47" s="125"/>
      <c r="B47" s="81" t="s">
        <v>16</v>
      </c>
      <c r="C47" s="82">
        <f>SUM(C35:C46)</f>
        <v>644</v>
      </c>
      <c r="D47" s="82">
        <f aca="true" t="shared" si="66" ref="D47:X47">SUM(D35:D46)</f>
        <v>0</v>
      </c>
      <c r="E47" s="82">
        <f t="shared" si="66"/>
        <v>0</v>
      </c>
      <c r="F47" s="82">
        <f t="shared" si="66"/>
        <v>0</v>
      </c>
      <c r="G47" s="82">
        <f t="shared" si="66"/>
        <v>0</v>
      </c>
      <c r="H47" s="82">
        <f t="shared" si="66"/>
        <v>0</v>
      </c>
      <c r="I47" s="82">
        <f t="shared" si="66"/>
        <v>801</v>
      </c>
      <c r="J47" s="82">
        <f t="shared" si="66"/>
        <v>0</v>
      </c>
      <c r="K47" s="82">
        <f t="shared" si="66"/>
        <v>3892</v>
      </c>
      <c r="L47" s="82">
        <f t="shared" si="66"/>
        <v>4777</v>
      </c>
      <c r="M47" s="82">
        <f t="shared" si="66"/>
        <v>124978</v>
      </c>
      <c r="N47" s="82">
        <f t="shared" si="66"/>
        <v>0</v>
      </c>
      <c r="O47" s="82">
        <f t="shared" si="66"/>
        <v>133674</v>
      </c>
      <c r="P47" s="82">
        <f t="shared" si="66"/>
        <v>0</v>
      </c>
      <c r="Q47" s="82">
        <f t="shared" si="66"/>
        <v>6928463</v>
      </c>
      <c r="R47" s="82">
        <f t="shared" si="66"/>
        <v>22762567</v>
      </c>
      <c r="S47" s="82">
        <f t="shared" si="66"/>
        <v>0</v>
      </c>
      <c r="T47" s="82">
        <f t="shared" si="66"/>
        <v>600</v>
      </c>
      <c r="U47" s="82">
        <f t="shared" si="66"/>
        <v>241406</v>
      </c>
      <c r="V47" s="82">
        <f t="shared" si="66"/>
        <v>30062622</v>
      </c>
      <c r="W47" s="82">
        <f t="shared" si="66"/>
        <v>20062517</v>
      </c>
      <c r="X47" s="82">
        <f t="shared" si="66"/>
        <v>10000105</v>
      </c>
      <c r="Y47" s="47">
        <f t="shared" si="19"/>
        <v>0.4984471788858796</v>
      </c>
      <c r="Z47" s="47"/>
    </row>
    <row r="48" spans="2:26" ht="12" customHeight="1">
      <c r="B48" s="76" t="s">
        <v>57</v>
      </c>
      <c r="C48" s="78">
        <f aca="true" t="shared" si="67" ref="C48:C54">_xlfn.IFERROR(VLOOKUP($B48,$B$83:$F$138,2,FALSE),0)</f>
        <v>0</v>
      </c>
      <c r="D48" s="78">
        <f aca="true" t="shared" si="68" ref="D48:D54">_xlfn.IFERROR(VLOOKUP(B48,$B$83:$D$138,3,FALSE),0)</f>
        <v>0</v>
      </c>
      <c r="E48" s="78">
        <f aca="true" t="shared" si="69" ref="E48:E54">_xlfn.IFERROR(VLOOKUP($B48,$B$83:$E$138,4,FALSE),0)</f>
        <v>0</v>
      </c>
      <c r="F48" s="78">
        <f aca="true" t="shared" si="70" ref="F48:F54">_xlfn.IFERROR(VLOOKUP($B48,$B$83:$F$138,5,FALSE),0)</f>
        <v>0</v>
      </c>
      <c r="G48" s="78">
        <f aca="true" t="shared" si="71" ref="G48:G54">_xlfn.IFERROR(VLOOKUP($B48,$B$83:$G$138,6,FALSE),0)</f>
        <v>0</v>
      </c>
      <c r="H48" s="78">
        <f aca="true" t="shared" si="72" ref="H48:H54">_xlfn.IFERROR(VLOOKUP($B48,$B$83:$H$138,7,FALSE),0)</f>
        <v>0</v>
      </c>
      <c r="I48" s="78">
        <f aca="true" t="shared" si="73" ref="I48:I54">_xlfn.IFERROR(VLOOKUP($B48,$B$83:$I$138,8,FALSE),0)</f>
        <v>100</v>
      </c>
      <c r="J48" s="78">
        <f aca="true" t="shared" si="74" ref="J48:J54">_xlfn.IFERROR(VLOOKUP($B48,$B$83:$J$138,9,FALSE),0)</f>
        <v>0</v>
      </c>
      <c r="K48" s="78">
        <f aca="true" t="shared" si="75" ref="K48:K54">_xlfn.IFERROR(VLOOKUP($B48,$B$83:$K$138,10,FALSE),0)</f>
        <v>0</v>
      </c>
      <c r="L48" s="78">
        <f aca="true" t="shared" si="76" ref="L48:L54">_xlfn.IFERROR(VLOOKUP($B48,$B$83:$L$138,11,FALSE),0)</f>
        <v>0</v>
      </c>
      <c r="M48" s="78">
        <f aca="true" t="shared" si="77" ref="M48:M54">_xlfn.IFERROR(VLOOKUP($B48,$B$83:$M$138,12,FALSE),0)</f>
        <v>0</v>
      </c>
      <c r="N48" s="79">
        <f>_xlfn.IFERROR(VLOOKUP($B48,$B$83:$N$138,13,FALSE),0)</f>
        <v>0</v>
      </c>
      <c r="O48" s="78">
        <f>(_xlfn.IFERROR(VLOOKUP($B48,$B$83:$O$138,14,FALSE),0))</f>
        <v>10380854</v>
      </c>
      <c r="P48" s="79">
        <f aca="true" t="shared" si="78" ref="P48:P54">_xlfn.IFERROR(VLOOKUP($B48,$B$83:$P$138,15,FALSE),0)</f>
        <v>0</v>
      </c>
      <c r="Q48" s="78">
        <f aca="true" t="shared" si="79" ref="Q48:Q54">_xlfn.IFERROR(VLOOKUP($B48,$B$83:$R$138,16,FALSE),0)</f>
        <v>0</v>
      </c>
      <c r="R48" s="78">
        <f aca="true" t="shared" si="80" ref="R48:R54">_xlfn.IFERROR(VLOOKUP($B48,$B$83:$R$138,17,FALSE),0)</f>
        <v>0</v>
      </c>
      <c r="S48" s="45">
        <f aca="true" t="shared" si="81" ref="S48:S54">_xlfn.IFERROR(VLOOKUP($B48,$B$83:$T$138,18,FALSE),0)</f>
        <v>0</v>
      </c>
      <c r="T48" s="45">
        <f aca="true" t="shared" si="82" ref="T48:T54">_xlfn.IFERROR(VLOOKUP($B48,$B$83:$T$138,19,FALSE),0)</f>
        <v>0</v>
      </c>
      <c r="U48" s="45">
        <f aca="true" t="shared" si="83" ref="U48:U54">_xlfn.IFERROR(VLOOKUP($B48,$B$83:$V$138,20,FALSE),0)</f>
        <v>0</v>
      </c>
      <c r="V48" s="45">
        <f aca="true" t="shared" si="84" ref="V48:V54">_xlfn.IFERROR(VLOOKUP($B48,$B$83:$V$138,21,FALSE),0)</f>
        <v>10380954</v>
      </c>
      <c r="W48" s="45">
        <f aca="true" t="shared" si="85" ref="W48:W54">_xlfn.IFERROR(VLOOKUP($B48,$B$83:$X$138,22,FALSE),0)</f>
        <v>9710477</v>
      </c>
      <c r="X48" s="46">
        <f aca="true" t="shared" si="86" ref="X48:X54">V48-W48</f>
        <v>670477</v>
      </c>
      <c r="Y48" s="44">
        <f t="shared" si="19"/>
        <v>0.0690467625843715</v>
      </c>
      <c r="Z48" s="44"/>
    </row>
    <row r="49" spans="2:26" ht="12" customHeight="1">
      <c r="B49" s="83" t="s">
        <v>58</v>
      </c>
      <c r="C49" s="78">
        <f t="shared" si="67"/>
        <v>0</v>
      </c>
      <c r="D49" s="78">
        <f t="shared" si="68"/>
        <v>0</v>
      </c>
      <c r="E49" s="78">
        <f t="shared" si="69"/>
        <v>0</v>
      </c>
      <c r="F49" s="78">
        <f t="shared" si="70"/>
        <v>0</v>
      </c>
      <c r="G49" s="78">
        <f t="shared" si="71"/>
        <v>0</v>
      </c>
      <c r="H49" s="78">
        <f t="shared" si="72"/>
        <v>0</v>
      </c>
      <c r="I49" s="78">
        <f t="shared" si="73"/>
        <v>0</v>
      </c>
      <c r="J49" s="78">
        <f t="shared" si="74"/>
        <v>0</v>
      </c>
      <c r="K49" s="78">
        <f t="shared" si="75"/>
        <v>0</v>
      </c>
      <c r="L49" s="78">
        <f t="shared" si="76"/>
        <v>0</v>
      </c>
      <c r="M49" s="78">
        <f t="shared" si="77"/>
        <v>0</v>
      </c>
      <c r="N49" s="79">
        <f>_xlfn.IFERROR(VLOOKUP($B49,$B$83:$N$138,13,FALSE),0)</f>
        <v>0</v>
      </c>
      <c r="O49" s="78">
        <f>(_xlfn.IFERROR(VLOOKUP($B49,$B$83:$O$138,14,FALSE),0))</f>
        <v>0</v>
      </c>
      <c r="P49" s="79">
        <f t="shared" si="78"/>
        <v>0</v>
      </c>
      <c r="Q49" s="78">
        <f t="shared" si="79"/>
        <v>1364758</v>
      </c>
      <c r="R49" s="78">
        <f t="shared" si="80"/>
        <v>0</v>
      </c>
      <c r="S49" s="45">
        <f t="shared" si="81"/>
        <v>0</v>
      </c>
      <c r="T49" s="45">
        <f t="shared" si="82"/>
        <v>0</v>
      </c>
      <c r="U49" s="45">
        <f t="shared" si="83"/>
        <v>0</v>
      </c>
      <c r="V49" s="45">
        <f t="shared" si="84"/>
        <v>1364758</v>
      </c>
      <c r="W49" s="45">
        <f t="shared" si="85"/>
        <v>927703</v>
      </c>
      <c r="X49" s="46">
        <f t="shared" si="86"/>
        <v>437055</v>
      </c>
      <c r="Y49" s="44">
        <f t="shared" si="19"/>
        <v>0.4711152168312488</v>
      </c>
      <c r="Z49" s="44"/>
    </row>
    <row r="50" spans="2:26" ht="12" customHeight="1">
      <c r="B50" s="76" t="s">
        <v>69</v>
      </c>
      <c r="C50" s="78">
        <f t="shared" si="67"/>
        <v>10505</v>
      </c>
      <c r="D50" s="78">
        <f t="shared" si="68"/>
        <v>9187</v>
      </c>
      <c r="E50" s="78">
        <f t="shared" si="69"/>
        <v>0</v>
      </c>
      <c r="F50" s="78">
        <f t="shared" si="70"/>
        <v>5228</v>
      </c>
      <c r="G50" s="78">
        <f t="shared" si="71"/>
        <v>2816</v>
      </c>
      <c r="H50" s="78">
        <f t="shared" si="72"/>
        <v>87669</v>
      </c>
      <c r="I50" s="78">
        <f t="shared" si="73"/>
        <v>12216</v>
      </c>
      <c r="J50" s="78">
        <f t="shared" si="74"/>
        <v>3423</v>
      </c>
      <c r="K50" s="78">
        <f t="shared" si="75"/>
        <v>25705</v>
      </c>
      <c r="L50" s="78">
        <f t="shared" si="76"/>
        <v>2960</v>
      </c>
      <c r="M50" s="78">
        <f t="shared" si="77"/>
        <v>0</v>
      </c>
      <c r="N50" s="79">
        <v>0</v>
      </c>
      <c r="O50" s="78">
        <f>(_xlfn.IFERROR(VLOOKUP($B50,$B$83:$O$138,14,FALSE),0))</f>
        <v>67793</v>
      </c>
      <c r="P50" s="79">
        <f t="shared" si="78"/>
        <v>0</v>
      </c>
      <c r="Q50" s="78">
        <f t="shared" si="79"/>
        <v>118801</v>
      </c>
      <c r="R50" s="78">
        <f t="shared" si="80"/>
        <v>67775</v>
      </c>
      <c r="S50" s="45">
        <f t="shared" si="81"/>
        <v>3053</v>
      </c>
      <c r="T50" s="45">
        <f t="shared" si="82"/>
        <v>6283</v>
      </c>
      <c r="U50" s="45">
        <f t="shared" si="83"/>
        <v>33614</v>
      </c>
      <c r="V50" s="45">
        <f t="shared" si="84"/>
        <v>457028</v>
      </c>
      <c r="W50" s="45">
        <f t="shared" si="85"/>
        <v>406374</v>
      </c>
      <c r="X50" s="46">
        <f t="shared" si="86"/>
        <v>50654</v>
      </c>
      <c r="Y50" s="44">
        <f t="shared" si="19"/>
        <v>0.12464872260528478</v>
      </c>
      <c r="Z50" s="44"/>
    </row>
    <row r="51" spans="2:26" ht="12" customHeight="1">
      <c r="B51" s="76" t="s">
        <v>75</v>
      </c>
      <c r="C51" s="78">
        <f t="shared" si="67"/>
        <v>0</v>
      </c>
      <c r="D51" s="78">
        <f t="shared" si="68"/>
        <v>0</v>
      </c>
      <c r="E51" s="78">
        <f t="shared" si="69"/>
        <v>0</v>
      </c>
      <c r="F51" s="78">
        <f t="shared" si="70"/>
        <v>0</v>
      </c>
      <c r="G51" s="78">
        <f t="shared" si="71"/>
        <v>0</v>
      </c>
      <c r="H51" s="78">
        <f t="shared" si="72"/>
        <v>0</v>
      </c>
      <c r="I51" s="78">
        <f t="shared" si="73"/>
        <v>0</v>
      </c>
      <c r="J51" s="78">
        <f t="shared" si="74"/>
        <v>0</v>
      </c>
      <c r="K51" s="78">
        <f t="shared" si="75"/>
        <v>0</v>
      </c>
      <c r="L51" s="78">
        <f t="shared" si="76"/>
        <v>0</v>
      </c>
      <c r="M51" s="78">
        <f t="shared" si="77"/>
        <v>0</v>
      </c>
      <c r="N51" s="79">
        <f>_xlfn.IFERROR(VLOOKUP($B51,$B$83:$N$138,13,FALSE),0)</f>
        <v>0</v>
      </c>
      <c r="O51" s="78">
        <f>_xlfn.IFERROR(VLOOKUP($B51,$B$83:$O$138,14,FALSE),0)</f>
        <v>0</v>
      </c>
      <c r="P51" s="79">
        <f t="shared" si="78"/>
        <v>0</v>
      </c>
      <c r="Q51" s="78">
        <f t="shared" si="79"/>
        <v>0</v>
      </c>
      <c r="R51" s="78">
        <f t="shared" si="80"/>
        <v>1057250</v>
      </c>
      <c r="S51" s="45">
        <f t="shared" si="81"/>
        <v>0</v>
      </c>
      <c r="T51" s="45">
        <f t="shared" si="82"/>
        <v>0</v>
      </c>
      <c r="U51" s="45">
        <f t="shared" si="83"/>
        <v>0</v>
      </c>
      <c r="V51" s="45">
        <f t="shared" si="84"/>
        <v>1057250</v>
      </c>
      <c r="W51" s="45">
        <f t="shared" si="85"/>
        <v>1085400</v>
      </c>
      <c r="X51" s="46">
        <f t="shared" si="86"/>
        <v>-28150</v>
      </c>
      <c r="Y51" s="44">
        <f t="shared" si="19"/>
        <v>-0.02593513911921872</v>
      </c>
      <c r="Z51" s="44"/>
    </row>
    <row r="52" spans="2:26" ht="12" customHeight="1">
      <c r="B52" s="76" t="s">
        <v>83</v>
      </c>
      <c r="C52" s="78">
        <f t="shared" si="67"/>
        <v>0</v>
      </c>
      <c r="D52" s="78">
        <f t="shared" si="68"/>
        <v>0</v>
      </c>
      <c r="E52" s="78">
        <f t="shared" si="69"/>
        <v>0</v>
      </c>
      <c r="F52" s="78">
        <f t="shared" si="70"/>
        <v>0</v>
      </c>
      <c r="G52" s="78">
        <f t="shared" si="71"/>
        <v>0</v>
      </c>
      <c r="H52" s="78">
        <f t="shared" si="72"/>
        <v>0</v>
      </c>
      <c r="I52" s="78">
        <f t="shared" si="73"/>
        <v>0</v>
      </c>
      <c r="J52" s="78">
        <f t="shared" si="74"/>
        <v>0</v>
      </c>
      <c r="K52" s="78">
        <f t="shared" si="75"/>
        <v>0</v>
      </c>
      <c r="L52" s="78">
        <f t="shared" si="76"/>
        <v>0</v>
      </c>
      <c r="M52" s="78">
        <f t="shared" si="77"/>
        <v>0</v>
      </c>
      <c r="N52" s="79">
        <f>_xlfn.IFERROR(VLOOKUP($B52,$B$83:$N$138,13,FALSE),0)</f>
        <v>0</v>
      </c>
      <c r="O52" s="78">
        <f>(_xlfn.IFERROR(VLOOKUP($B52,$B$83:$O$138,14,FALSE),0))</f>
        <v>10261333</v>
      </c>
      <c r="P52" s="79">
        <f t="shared" si="78"/>
        <v>0</v>
      </c>
      <c r="Q52" s="78">
        <f t="shared" si="79"/>
        <v>0</v>
      </c>
      <c r="R52" s="78">
        <f t="shared" si="80"/>
        <v>0</v>
      </c>
      <c r="S52" s="45">
        <f t="shared" si="81"/>
        <v>0</v>
      </c>
      <c r="T52" s="45">
        <f t="shared" si="82"/>
        <v>0</v>
      </c>
      <c r="U52" s="45">
        <f t="shared" si="83"/>
        <v>0</v>
      </c>
      <c r="V52" s="45">
        <f t="shared" si="84"/>
        <v>10261333</v>
      </c>
      <c r="W52" s="45">
        <f t="shared" si="85"/>
        <v>9400237</v>
      </c>
      <c r="X52" s="46">
        <f t="shared" si="86"/>
        <v>861096</v>
      </c>
      <c r="Y52" s="44">
        <f t="shared" si="19"/>
        <v>0.09160364786547404</v>
      </c>
      <c r="Z52" s="44"/>
    </row>
    <row r="53" spans="2:26" ht="12" customHeight="1">
      <c r="B53" s="83" t="s">
        <v>88</v>
      </c>
      <c r="C53" s="78">
        <f t="shared" si="67"/>
        <v>0</v>
      </c>
      <c r="D53" s="78">
        <f t="shared" si="68"/>
        <v>0</v>
      </c>
      <c r="E53" s="78">
        <f t="shared" si="69"/>
        <v>0</v>
      </c>
      <c r="F53" s="78">
        <f t="shared" si="70"/>
        <v>0</v>
      </c>
      <c r="G53" s="78">
        <f t="shared" si="71"/>
        <v>0</v>
      </c>
      <c r="H53" s="78">
        <f t="shared" si="72"/>
        <v>0</v>
      </c>
      <c r="I53" s="78">
        <f t="shared" si="73"/>
        <v>0</v>
      </c>
      <c r="J53" s="78">
        <f t="shared" si="74"/>
        <v>0</v>
      </c>
      <c r="K53" s="78">
        <f t="shared" si="75"/>
        <v>0</v>
      </c>
      <c r="L53" s="78">
        <f t="shared" si="76"/>
        <v>0</v>
      </c>
      <c r="M53" s="78">
        <f t="shared" si="77"/>
        <v>0</v>
      </c>
      <c r="N53" s="79">
        <v>0</v>
      </c>
      <c r="O53" s="78">
        <f>(_xlfn.IFERROR(VLOOKUP($B53,$B$83:$O$138,14,FALSE),0))</f>
        <v>0</v>
      </c>
      <c r="P53" s="79">
        <f t="shared" si="78"/>
        <v>0</v>
      </c>
      <c r="Q53" s="78">
        <f t="shared" si="79"/>
        <v>7195086</v>
      </c>
      <c r="R53" s="78">
        <f t="shared" si="80"/>
        <v>0</v>
      </c>
      <c r="S53" s="45">
        <f t="shared" si="81"/>
        <v>0</v>
      </c>
      <c r="T53" s="45">
        <f t="shared" si="82"/>
        <v>0</v>
      </c>
      <c r="U53" s="45">
        <f t="shared" si="83"/>
        <v>0</v>
      </c>
      <c r="V53" s="45">
        <f t="shared" si="84"/>
        <v>7195086</v>
      </c>
      <c r="W53" s="45">
        <f t="shared" si="85"/>
        <v>5481608</v>
      </c>
      <c r="X53" s="46">
        <f t="shared" si="86"/>
        <v>1713478</v>
      </c>
      <c r="Y53" s="44">
        <f t="shared" si="19"/>
        <v>0.312586744619462</v>
      </c>
      <c r="Z53" s="44"/>
    </row>
    <row r="54" spans="2:26" ht="12" customHeight="1">
      <c r="B54" s="83" t="s">
        <v>94</v>
      </c>
      <c r="C54" s="78">
        <f t="shared" si="67"/>
        <v>0</v>
      </c>
      <c r="D54" s="78">
        <f t="shared" si="68"/>
        <v>0</v>
      </c>
      <c r="E54" s="78">
        <f t="shared" si="69"/>
        <v>0</v>
      </c>
      <c r="F54" s="78">
        <f t="shared" si="70"/>
        <v>0</v>
      </c>
      <c r="G54" s="78">
        <f t="shared" si="71"/>
        <v>0</v>
      </c>
      <c r="H54" s="78">
        <f t="shared" si="72"/>
        <v>0</v>
      </c>
      <c r="I54" s="78">
        <f t="shared" si="73"/>
        <v>0</v>
      </c>
      <c r="J54" s="78">
        <f t="shared" si="74"/>
        <v>0</v>
      </c>
      <c r="K54" s="78">
        <f t="shared" si="75"/>
        <v>0</v>
      </c>
      <c r="L54" s="78">
        <f t="shared" si="76"/>
        <v>0</v>
      </c>
      <c r="M54" s="78">
        <f t="shared" si="77"/>
        <v>0</v>
      </c>
      <c r="N54" s="79">
        <f>_xlfn.IFERROR(VLOOKUP($B54,$B$83:$N$138,13,FALSE),0)</f>
        <v>0</v>
      </c>
      <c r="O54" s="78">
        <f>(_xlfn.IFERROR(VLOOKUP($B54,$B$83:$O$138,14,FALSE),0))</f>
        <v>19939979</v>
      </c>
      <c r="P54" s="79">
        <f t="shared" si="78"/>
        <v>0</v>
      </c>
      <c r="Q54" s="78">
        <f t="shared" si="79"/>
        <v>0</v>
      </c>
      <c r="R54" s="78">
        <f t="shared" si="80"/>
        <v>0</v>
      </c>
      <c r="S54" s="45">
        <f t="shared" si="81"/>
        <v>0</v>
      </c>
      <c r="T54" s="45">
        <f t="shared" si="82"/>
        <v>0</v>
      </c>
      <c r="U54" s="45">
        <f t="shared" si="83"/>
        <v>0</v>
      </c>
      <c r="V54" s="45">
        <f t="shared" si="84"/>
        <v>19939979</v>
      </c>
      <c r="W54" s="45">
        <f t="shared" si="85"/>
        <v>17257181</v>
      </c>
      <c r="X54" s="46">
        <f t="shared" si="86"/>
        <v>2682798</v>
      </c>
      <c r="Y54" s="44">
        <f t="shared" si="19"/>
        <v>0.15545980539927118</v>
      </c>
      <c r="Z54" s="44"/>
    </row>
    <row r="55" spans="1:26" s="49" customFormat="1" ht="12" customHeight="1">
      <c r="A55" s="125"/>
      <c r="B55" s="81" t="s">
        <v>17</v>
      </c>
      <c r="C55" s="82">
        <f>SUM(C48:C54)</f>
        <v>10505</v>
      </c>
      <c r="D55" s="82">
        <f aca="true" t="shared" si="87" ref="D55:X55">SUM(D48:D54)</f>
        <v>9187</v>
      </c>
      <c r="E55" s="82">
        <f t="shared" si="87"/>
        <v>0</v>
      </c>
      <c r="F55" s="82">
        <f t="shared" si="87"/>
        <v>5228</v>
      </c>
      <c r="G55" s="82">
        <f t="shared" si="87"/>
        <v>2816</v>
      </c>
      <c r="H55" s="82">
        <f t="shared" si="87"/>
        <v>87669</v>
      </c>
      <c r="I55" s="82">
        <f t="shared" si="87"/>
        <v>12316</v>
      </c>
      <c r="J55" s="82">
        <f t="shared" si="87"/>
        <v>3423</v>
      </c>
      <c r="K55" s="82">
        <f t="shared" si="87"/>
        <v>25705</v>
      </c>
      <c r="L55" s="82">
        <f t="shared" si="87"/>
        <v>2960</v>
      </c>
      <c r="M55" s="82">
        <f t="shared" si="87"/>
        <v>0</v>
      </c>
      <c r="N55" s="82">
        <f t="shared" si="87"/>
        <v>0</v>
      </c>
      <c r="O55" s="82">
        <f t="shared" si="87"/>
        <v>40649959</v>
      </c>
      <c r="P55" s="82">
        <f t="shared" si="87"/>
        <v>0</v>
      </c>
      <c r="Q55" s="82">
        <f t="shared" si="87"/>
        <v>8678645</v>
      </c>
      <c r="R55" s="82">
        <f t="shared" si="87"/>
        <v>1125025</v>
      </c>
      <c r="S55" s="82">
        <f t="shared" si="87"/>
        <v>3053</v>
      </c>
      <c r="T55" s="82">
        <f t="shared" si="87"/>
        <v>6283</v>
      </c>
      <c r="U55" s="82">
        <f t="shared" si="87"/>
        <v>33614</v>
      </c>
      <c r="V55" s="82">
        <f t="shared" si="87"/>
        <v>50656388</v>
      </c>
      <c r="W55" s="82">
        <f t="shared" si="87"/>
        <v>44268980</v>
      </c>
      <c r="X55" s="82">
        <f t="shared" si="87"/>
        <v>6387408</v>
      </c>
      <c r="Y55" s="47">
        <f t="shared" si="19"/>
        <v>0.14428631515792775</v>
      </c>
      <c r="Z55" s="47"/>
    </row>
    <row r="56" spans="2:26" ht="12" customHeight="1">
      <c r="B56" s="83" t="s">
        <v>60</v>
      </c>
      <c r="C56" s="78">
        <f aca="true" t="shared" si="88" ref="C56:C61">_xlfn.IFERROR(VLOOKUP($B56,$B$83:$F$138,2,FALSE),0)</f>
        <v>0</v>
      </c>
      <c r="D56" s="78">
        <f aca="true" t="shared" si="89" ref="D56:D61">_xlfn.IFERROR(VLOOKUP(B56,$B$83:$D$138,3,FALSE),0)</f>
        <v>0</v>
      </c>
      <c r="E56" s="78">
        <f aca="true" t="shared" si="90" ref="E56:E61">_xlfn.IFERROR(VLOOKUP($B56,$B$83:$E$138,4,FALSE),0)</f>
        <v>0</v>
      </c>
      <c r="F56" s="78">
        <v>0</v>
      </c>
      <c r="G56" s="78">
        <f aca="true" t="shared" si="91" ref="G56:G61">_xlfn.IFERROR(VLOOKUP($B56,$B$83:$G$138,6,FALSE),0)</f>
        <v>0</v>
      </c>
      <c r="H56" s="78">
        <f aca="true" t="shared" si="92" ref="H56:H61">_xlfn.IFERROR(VLOOKUP($B56,$B$83:$H$138,7,FALSE),0)</f>
        <v>0</v>
      </c>
      <c r="I56" s="78">
        <v>0</v>
      </c>
      <c r="J56" s="78">
        <f aca="true" t="shared" si="93" ref="J56:J61">_xlfn.IFERROR(VLOOKUP($B56,$B$83:$J$138,9,FALSE),0)</f>
        <v>0</v>
      </c>
      <c r="K56" s="78">
        <v>22416</v>
      </c>
      <c r="L56" s="78">
        <f aca="true" t="shared" si="94" ref="L56:L61">_xlfn.IFERROR(VLOOKUP($B56,$B$83:$L$138,11,FALSE),0)</f>
        <v>0</v>
      </c>
      <c r="M56" s="78">
        <f aca="true" t="shared" si="95" ref="M56:M61">_xlfn.IFERROR(VLOOKUP($B56,$B$83:$M$138,12,FALSE),0)</f>
        <v>0</v>
      </c>
      <c r="N56" s="79">
        <f>_xlfn.IFERROR(VLOOKUP($B56,$B$83:$N$138,13,FALSE),0)</f>
        <v>0</v>
      </c>
      <c r="O56" s="78">
        <v>0</v>
      </c>
      <c r="P56" s="79">
        <f aca="true" t="shared" si="96" ref="P56:P61">_xlfn.IFERROR(VLOOKUP($B56,$B$83:$P$138,15,FALSE),0)</f>
        <v>0</v>
      </c>
      <c r="Q56" s="78">
        <f aca="true" t="shared" si="97" ref="Q56:Q61">_xlfn.IFERROR(VLOOKUP($B56,$B$83:$R$138,16,FALSE),0)</f>
        <v>0</v>
      </c>
      <c r="R56" s="78">
        <v>0</v>
      </c>
      <c r="S56" s="45">
        <f aca="true" t="shared" si="98" ref="S56:S61">_xlfn.IFERROR(VLOOKUP($B56,$B$83:$T$138,18,FALSE),0)</f>
        <v>0</v>
      </c>
      <c r="T56" s="45">
        <f aca="true" t="shared" si="99" ref="T56:T61">_xlfn.IFERROR(VLOOKUP($B56,$B$83:$T$138,19,FALSE),0)</f>
        <v>0</v>
      </c>
      <c r="U56" s="45">
        <f aca="true" t="shared" si="100" ref="U56:U61">_xlfn.IFERROR(VLOOKUP($B56,$B$83:$V$138,20,FALSE),0)</f>
        <v>0</v>
      </c>
      <c r="V56" s="45">
        <f>SUM(C56:U56)</f>
        <v>22416</v>
      </c>
      <c r="W56" s="45">
        <v>5284</v>
      </c>
      <c r="X56" s="46">
        <f aca="true" t="shared" si="101" ref="X56:X61">V56-W56</f>
        <v>17132</v>
      </c>
      <c r="Y56" s="44">
        <f t="shared" si="19"/>
        <v>3.24224072672218</v>
      </c>
      <c r="Z56" s="44"/>
    </row>
    <row r="57" spans="2:26" ht="12" customHeight="1">
      <c r="B57" s="83" t="s">
        <v>61</v>
      </c>
      <c r="C57" s="78">
        <f t="shared" si="88"/>
        <v>0</v>
      </c>
      <c r="D57" s="78">
        <f t="shared" si="89"/>
        <v>0</v>
      </c>
      <c r="E57" s="78">
        <f t="shared" si="90"/>
        <v>0</v>
      </c>
      <c r="F57" s="78">
        <v>0</v>
      </c>
      <c r="G57" s="78">
        <f t="shared" si="91"/>
        <v>0</v>
      </c>
      <c r="H57" s="78">
        <f t="shared" si="92"/>
        <v>0</v>
      </c>
      <c r="I57" s="78">
        <v>0</v>
      </c>
      <c r="J57" s="78">
        <f t="shared" si="93"/>
        <v>0</v>
      </c>
      <c r="K57" s="78">
        <v>0</v>
      </c>
      <c r="L57" s="78">
        <f t="shared" si="94"/>
        <v>1426601</v>
      </c>
      <c r="M57" s="78">
        <f t="shared" si="95"/>
        <v>0</v>
      </c>
      <c r="N57" s="79">
        <f>_xlfn.IFERROR(VLOOKUP($B57,$B$83:$N$138,13,FALSE),0)</f>
        <v>0</v>
      </c>
      <c r="O57" s="78">
        <v>0</v>
      </c>
      <c r="P57" s="79">
        <f t="shared" si="96"/>
        <v>0</v>
      </c>
      <c r="Q57" s="78">
        <f t="shared" si="97"/>
        <v>0</v>
      </c>
      <c r="R57" s="78">
        <v>0</v>
      </c>
      <c r="S57" s="45">
        <f t="shared" si="98"/>
        <v>0</v>
      </c>
      <c r="T57" s="45">
        <f t="shared" si="99"/>
        <v>0</v>
      </c>
      <c r="U57" s="45">
        <f t="shared" si="100"/>
        <v>0</v>
      </c>
      <c r="V57" s="45">
        <f>SUM(C57:U57)</f>
        <v>1426601</v>
      </c>
      <c r="W57" s="45">
        <f>511841+15760</f>
        <v>527601</v>
      </c>
      <c r="X57" s="46">
        <f t="shared" si="101"/>
        <v>899000</v>
      </c>
      <c r="Y57" s="44">
        <f t="shared" si="19"/>
        <v>1.7039391509872044</v>
      </c>
      <c r="Z57" s="44"/>
    </row>
    <row r="58" spans="2:26" ht="12" customHeight="1">
      <c r="B58" s="83" t="s">
        <v>62</v>
      </c>
      <c r="C58" s="78">
        <f t="shared" si="88"/>
        <v>0</v>
      </c>
      <c r="D58" s="78">
        <f t="shared" si="89"/>
        <v>0</v>
      </c>
      <c r="E58" s="78">
        <f t="shared" si="90"/>
        <v>0</v>
      </c>
      <c r="F58" s="78">
        <f>_xlfn.IFERROR(VLOOKUP($B58,$B$83:$F$138,5,FALSE),0)</f>
        <v>0</v>
      </c>
      <c r="G58" s="78">
        <f t="shared" si="91"/>
        <v>0</v>
      </c>
      <c r="H58" s="78">
        <f t="shared" si="92"/>
        <v>0</v>
      </c>
      <c r="I58" s="78">
        <f>_xlfn.IFERROR(VLOOKUP($B58,$B$83:$I$138,8,FALSE),0)</f>
        <v>0</v>
      </c>
      <c r="J58" s="78">
        <f t="shared" si="93"/>
        <v>0</v>
      </c>
      <c r="K58" s="78">
        <f>_xlfn.IFERROR(VLOOKUP($B58,$B$83:$K$138,10,FALSE),0)</f>
        <v>0</v>
      </c>
      <c r="L58" s="78">
        <f t="shared" si="94"/>
        <v>1019697</v>
      </c>
      <c r="M58" s="78">
        <f t="shared" si="95"/>
        <v>0</v>
      </c>
      <c r="N58" s="79">
        <f>_xlfn.IFERROR(VLOOKUP($B58,$B$83:$N$138,13,FALSE),0)</f>
        <v>0</v>
      </c>
      <c r="O58" s="78">
        <f>(_xlfn.IFERROR(VLOOKUP($B58,$B$83:$O$138,14,FALSE),0))</f>
        <v>0</v>
      </c>
      <c r="P58" s="79">
        <f t="shared" si="96"/>
        <v>0</v>
      </c>
      <c r="Q58" s="78">
        <f t="shared" si="97"/>
        <v>0</v>
      </c>
      <c r="R58" s="78">
        <f>_xlfn.IFERROR(VLOOKUP($B58,$B$83:$R$138,17,FALSE),0)</f>
        <v>0</v>
      </c>
      <c r="S58" s="45">
        <f t="shared" si="98"/>
        <v>0</v>
      </c>
      <c r="T58" s="45">
        <f t="shared" si="99"/>
        <v>0</v>
      </c>
      <c r="U58" s="45">
        <f t="shared" si="100"/>
        <v>0</v>
      </c>
      <c r="V58" s="45">
        <f>_xlfn.IFERROR(VLOOKUP($B58,$B$83:$V$138,21,FALSE),0)</f>
        <v>1019697</v>
      </c>
      <c r="W58" s="45">
        <f>_xlfn.IFERROR(VLOOKUP($B58,$B$83:$X$138,22,FALSE),0)</f>
        <v>201737</v>
      </c>
      <c r="X58" s="46">
        <f t="shared" si="101"/>
        <v>817960</v>
      </c>
      <c r="Y58" s="44">
        <f t="shared" si="19"/>
        <v>4.054585921273738</v>
      </c>
      <c r="Z58" s="44"/>
    </row>
    <row r="59" spans="2:26" ht="12" customHeight="1">
      <c r="B59" s="83" t="s">
        <v>63</v>
      </c>
      <c r="C59" s="78">
        <f t="shared" si="88"/>
        <v>280</v>
      </c>
      <c r="D59" s="78">
        <f t="shared" si="89"/>
        <v>15246</v>
      </c>
      <c r="E59" s="78">
        <f t="shared" si="90"/>
        <v>0</v>
      </c>
      <c r="F59" s="78">
        <f>_xlfn.IFERROR(VLOOKUP($B59,$B$83:$F$138,5,FALSE),0)</f>
        <v>0</v>
      </c>
      <c r="G59" s="78">
        <f t="shared" si="91"/>
        <v>0</v>
      </c>
      <c r="H59" s="78">
        <f t="shared" si="92"/>
        <v>81057</v>
      </c>
      <c r="I59" s="78">
        <f>_xlfn.IFERROR(VLOOKUP($B59,$B$83:$I$138,8,FALSE),0)</f>
        <v>0</v>
      </c>
      <c r="J59" s="78">
        <f t="shared" si="93"/>
        <v>0</v>
      </c>
      <c r="K59" s="78">
        <f>_xlfn.IFERROR(VLOOKUP($B59,$B$83:$K$138,10,FALSE),0)</f>
        <v>64988</v>
      </c>
      <c r="L59" s="78">
        <f t="shared" si="94"/>
        <v>1003733</v>
      </c>
      <c r="M59" s="78">
        <f t="shared" si="95"/>
        <v>0</v>
      </c>
      <c r="N59" s="79">
        <v>0</v>
      </c>
      <c r="O59" s="78">
        <f>(_xlfn.IFERROR(VLOOKUP($B59,$B$83:$O$138,14,FALSE),0))</f>
        <v>0</v>
      </c>
      <c r="P59" s="79">
        <f t="shared" si="96"/>
        <v>0</v>
      </c>
      <c r="Q59" s="78">
        <f t="shared" si="97"/>
        <v>0</v>
      </c>
      <c r="R59" s="78">
        <f>_xlfn.IFERROR(VLOOKUP($B59,$B$83:$R$138,17,FALSE),0)</f>
        <v>0</v>
      </c>
      <c r="S59" s="45">
        <f t="shared" si="98"/>
        <v>0</v>
      </c>
      <c r="T59" s="45">
        <f t="shared" si="99"/>
        <v>0</v>
      </c>
      <c r="U59" s="45">
        <f t="shared" si="100"/>
        <v>7636</v>
      </c>
      <c r="V59" s="45">
        <f>_xlfn.IFERROR(VLOOKUP($B59,$B$83:$V$138,21,FALSE),0)</f>
        <v>1172940</v>
      </c>
      <c r="W59" s="45">
        <f>_xlfn.IFERROR(VLOOKUP($B59,$B$83:$X$138,22,FALSE),0)</f>
        <v>487453</v>
      </c>
      <c r="X59" s="46">
        <f t="shared" si="101"/>
        <v>685487</v>
      </c>
      <c r="Y59" s="44">
        <f t="shared" si="19"/>
        <v>1.4062627576402238</v>
      </c>
      <c r="Z59" s="44"/>
    </row>
    <row r="60" spans="2:26" ht="12" customHeight="1">
      <c r="B60" s="76" t="s">
        <v>65</v>
      </c>
      <c r="C60" s="78">
        <f t="shared" si="88"/>
        <v>0</v>
      </c>
      <c r="D60" s="78">
        <f t="shared" si="89"/>
        <v>0</v>
      </c>
      <c r="E60" s="78">
        <f t="shared" si="90"/>
        <v>0</v>
      </c>
      <c r="F60" s="78">
        <f>_xlfn.IFERROR(VLOOKUP($B60,$B$83:$F$138,5,FALSE),0)</f>
        <v>0</v>
      </c>
      <c r="G60" s="78">
        <f t="shared" si="91"/>
        <v>0</v>
      </c>
      <c r="H60" s="78">
        <f t="shared" si="92"/>
        <v>0</v>
      </c>
      <c r="I60" s="78">
        <f>_xlfn.IFERROR(VLOOKUP($B60,$B$83:$I$138,8,FALSE),0)</f>
        <v>0</v>
      </c>
      <c r="J60" s="78">
        <f t="shared" si="93"/>
        <v>0</v>
      </c>
      <c r="K60" s="78">
        <f>_xlfn.IFERROR(VLOOKUP($B60,$B$83:$K$138,10,FALSE),0)</f>
        <v>1122</v>
      </c>
      <c r="L60" s="78">
        <f t="shared" si="94"/>
        <v>8177</v>
      </c>
      <c r="M60" s="78">
        <f t="shared" si="95"/>
        <v>0</v>
      </c>
      <c r="N60" s="79">
        <f>_xlfn.IFERROR(VLOOKUP($B60,$B$83:$N$138,13,FALSE),0)</f>
        <v>0</v>
      </c>
      <c r="O60" s="78">
        <f>(_xlfn.IFERROR(VLOOKUP($B60,$B$83:$O$138,14,FALSE),0))</f>
        <v>0</v>
      </c>
      <c r="P60" s="79">
        <f t="shared" si="96"/>
        <v>0</v>
      </c>
      <c r="Q60" s="78">
        <f t="shared" si="97"/>
        <v>0</v>
      </c>
      <c r="R60" s="78">
        <f>_xlfn.IFERROR(VLOOKUP($B60,$B$83:$R$138,17,FALSE),0)</f>
        <v>0</v>
      </c>
      <c r="S60" s="45">
        <f t="shared" si="98"/>
        <v>0</v>
      </c>
      <c r="T60" s="45">
        <f t="shared" si="99"/>
        <v>0</v>
      </c>
      <c r="U60" s="45">
        <f t="shared" si="100"/>
        <v>0</v>
      </c>
      <c r="V60" s="45">
        <f>_xlfn.IFERROR(VLOOKUP($B60,$B$83:$V$138,21,FALSE),0)</f>
        <v>9299</v>
      </c>
      <c r="W60" s="45">
        <f>_xlfn.IFERROR(VLOOKUP($B60,$B$83:$X$138,22,FALSE),0)</f>
        <v>8259</v>
      </c>
      <c r="X60" s="46">
        <f t="shared" si="101"/>
        <v>1040</v>
      </c>
      <c r="Y60" s="44">
        <f t="shared" si="19"/>
        <v>0.12592323525850588</v>
      </c>
      <c r="Z60" s="44"/>
    </row>
    <row r="61" spans="2:26" ht="12" customHeight="1">
      <c r="B61" s="76" t="s">
        <v>66</v>
      </c>
      <c r="C61" s="78">
        <f t="shared" si="88"/>
        <v>0</v>
      </c>
      <c r="D61" s="78">
        <f t="shared" si="89"/>
        <v>0</v>
      </c>
      <c r="E61" s="78">
        <f t="shared" si="90"/>
        <v>0</v>
      </c>
      <c r="F61" s="78">
        <f>_xlfn.IFERROR(VLOOKUP($B61,$B$83:$F$138,5,FALSE),0)</f>
        <v>0</v>
      </c>
      <c r="G61" s="78">
        <f t="shared" si="91"/>
        <v>0</v>
      </c>
      <c r="H61" s="78">
        <f t="shared" si="92"/>
        <v>0</v>
      </c>
      <c r="I61" s="78">
        <f>_xlfn.IFERROR(VLOOKUP($B61,$B$83:$I$138,8,FALSE),0)</f>
        <v>0</v>
      </c>
      <c r="J61" s="78">
        <f t="shared" si="93"/>
        <v>0</v>
      </c>
      <c r="K61" s="78">
        <f>_xlfn.IFERROR(VLOOKUP($B61,$B$83:$K$138,10,FALSE),0)</f>
        <v>0</v>
      </c>
      <c r="L61" s="78">
        <f t="shared" si="94"/>
        <v>91960</v>
      </c>
      <c r="M61" s="78">
        <f t="shared" si="95"/>
        <v>0</v>
      </c>
      <c r="N61" s="79">
        <f>_xlfn.IFERROR(VLOOKUP($B61,$B$83:$N$138,13,FALSE),0)</f>
        <v>0</v>
      </c>
      <c r="O61" s="78">
        <f>(_xlfn.IFERROR(VLOOKUP($B61,$B$83:$O$138,14,FALSE),0))</f>
        <v>0</v>
      </c>
      <c r="P61" s="79">
        <f t="shared" si="96"/>
        <v>0</v>
      </c>
      <c r="Q61" s="78">
        <f t="shared" si="97"/>
        <v>0</v>
      </c>
      <c r="R61" s="78">
        <f>_xlfn.IFERROR(VLOOKUP($B61,$B$83:$R$138,17,FALSE),0)</f>
        <v>0</v>
      </c>
      <c r="S61" s="45">
        <f t="shared" si="98"/>
        <v>0</v>
      </c>
      <c r="T61" s="45">
        <f t="shared" si="99"/>
        <v>0</v>
      </c>
      <c r="U61" s="45">
        <f t="shared" si="100"/>
        <v>0</v>
      </c>
      <c r="V61" s="45">
        <f>_xlfn.IFERROR(VLOOKUP($B61,$B$83:$V$138,21,FALSE),0)</f>
        <v>91960</v>
      </c>
      <c r="W61" s="45">
        <f>_xlfn.IFERROR(VLOOKUP($B61,$B$83:$X$138,22,FALSE),0)</f>
        <v>55936</v>
      </c>
      <c r="X61" s="46">
        <f t="shared" si="101"/>
        <v>36024</v>
      </c>
      <c r="Y61" s="44">
        <f t="shared" si="19"/>
        <v>0.6440217391304348</v>
      </c>
      <c r="Z61" s="44"/>
    </row>
    <row r="62" spans="1:26" s="49" customFormat="1" ht="12" customHeight="1">
      <c r="A62" s="125"/>
      <c r="B62" s="81" t="s">
        <v>113</v>
      </c>
      <c r="C62" s="82">
        <f>SUM(C56:C61)</f>
        <v>280</v>
      </c>
      <c r="D62" s="82">
        <f aca="true" t="shared" si="102" ref="D62:X62">SUM(D56:D61)</f>
        <v>15246</v>
      </c>
      <c r="E62" s="82">
        <f t="shared" si="102"/>
        <v>0</v>
      </c>
      <c r="F62" s="82">
        <f t="shared" si="102"/>
        <v>0</v>
      </c>
      <c r="G62" s="82">
        <f t="shared" si="102"/>
        <v>0</v>
      </c>
      <c r="H62" s="82">
        <f t="shared" si="102"/>
        <v>81057</v>
      </c>
      <c r="I62" s="82">
        <f t="shared" si="102"/>
        <v>0</v>
      </c>
      <c r="J62" s="82">
        <f t="shared" si="102"/>
        <v>0</v>
      </c>
      <c r="K62" s="82">
        <f t="shared" si="102"/>
        <v>88526</v>
      </c>
      <c r="L62" s="82">
        <f t="shared" si="102"/>
        <v>3550168</v>
      </c>
      <c r="M62" s="82">
        <f t="shared" si="102"/>
        <v>0</v>
      </c>
      <c r="N62" s="82">
        <f t="shared" si="102"/>
        <v>0</v>
      </c>
      <c r="O62" s="82">
        <f t="shared" si="102"/>
        <v>0</v>
      </c>
      <c r="P62" s="82">
        <f t="shared" si="102"/>
        <v>0</v>
      </c>
      <c r="Q62" s="82">
        <f t="shared" si="102"/>
        <v>0</v>
      </c>
      <c r="R62" s="82">
        <f t="shared" si="102"/>
        <v>0</v>
      </c>
      <c r="S62" s="82">
        <f t="shared" si="102"/>
        <v>0</v>
      </c>
      <c r="T62" s="82">
        <f t="shared" si="102"/>
        <v>0</v>
      </c>
      <c r="U62" s="82">
        <f t="shared" si="102"/>
        <v>7636</v>
      </c>
      <c r="V62" s="82">
        <f t="shared" si="102"/>
        <v>3742913</v>
      </c>
      <c r="W62" s="82">
        <f t="shared" si="102"/>
        <v>1286270</v>
      </c>
      <c r="X62" s="82">
        <f t="shared" si="102"/>
        <v>2456643</v>
      </c>
      <c r="Y62" s="47">
        <f t="shared" si="19"/>
        <v>1.9098968334797515</v>
      </c>
      <c r="Z62" s="47"/>
    </row>
    <row r="63" spans="2:26" ht="12" customHeight="1">
      <c r="B63" s="76" t="s">
        <v>36</v>
      </c>
      <c r="C63" s="78">
        <f aca="true" t="shared" si="103" ref="C63:C73">_xlfn.IFERROR(VLOOKUP($B63,$B$83:$F$138,2,FALSE),0)</f>
        <v>2308</v>
      </c>
      <c r="D63" s="78">
        <f aca="true" t="shared" si="104" ref="D63:D73">_xlfn.IFERROR(VLOOKUP(B63,$B$83:$D$138,3,FALSE),0)</f>
        <v>2382</v>
      </c>
      <c r="E63" s="78">
        <f aca="true" t="shared" si="105" ref="E63:E73">_xlfn.IFERROR(VLOOKUP($B63,$B$83:$E$138,4,FALSE),0)</f>
        <v>59697</v>
      </c>
      <c r="F63" s="78">
        <f aca="true" t="shared" si="106" ref="F63:F73">_xlfn.IFERROR(VLOOKUP($B63,$B$83:$F$138,5,FALSE),0)</f>
        <v>0</v>
      </c>
      <c r="G63" s="78">
        <f aca="true" t="shared" si="107" ref="G63:G73">_xlfn.IFERROR(VLOOKUP($B63,$B$83:$G$138,6,FALSE),0)</f>
        <v>0</v>
      </c>
      <c r="H63" s="78">
        <f aca="true" t="shared" si="108" ref="H63:H73">_xlfn.IFERROR(VLOOKUP($B63,$B$83:$H$138,7,FALSE),0)</f>
        <v>8418</v>
      </c>
      <c r="I63" s="78">
        <f aca="true" t="shared" si="109" ref="I63:I73">_xlfn.IFERROR(VLOOKUP($B63,$B$83:$I$138,8,FALSE),0)</f>
        <v>646</v>
      </c>
      <c r="J63" s="78">
        <f aca="true" t="shared" si="110" ref="J63:J73">_xlfn.IFERROR(VLOOKUP($B63,$B$83:$J$138,9,FALSE),0)</f>
        <v>600</v>
      </c>
      <c r="K63" s="78">
        <f aca="true" t="shared" si="111" ref="K63:K73">_xlfn.IFERROR(VLOOKUP($B63,$B$83:$K$138,10,FALSE),0)</f>
        <v>1571</v>
      </c>
      <c r="L63" s="78">
        <f aca="true" t="shared" si="112" ref="L63:L73">_xlfn.IFERROR(VLOOKUP($B63,$B$83:$L$138,11,FALSE),0)</f>
        <v>12941</v>
      </c>
      <c r="M63" s="78">
        <f aca="true" t="shared" si="113" ref="M63:M73">_xlfn.IFERROR(VLOOKUP($B63,$B$83:$M$138,12,FALSE),0)</f>
        <v>0</v>
      </c>
      <c r="N63" s="79">
        <v>0</v>
      </c>
      <c r="O63" s="78">
        <f aca="true" t="shared" si="114" ref="O63:O73">(_xlfn.IFERROR(VLOOKUP($B63,$B$83:$O$138,14,FALSE),0))</f>
        <v>30556</v>
      </c>
      <c r="P63" s="79">
        <f aca="true" t="shared" si="115" ref="P63:P73">_xlfn.IFERROR(VLOOKUP($B63,$B$83:$P$138,15,FALSE),0)</f>
        <v>0</v>
      </c>
      <c r="Q63" s="78">
        <f aca="true" t="shared" si="116" ref="Q63:Q73">_xlfn.IFERROR(VLOOKUP($B63,$B$83:$R$138,16,FALSE),0)</f>
        <v>0</v>
      </c>
      <c r="R63" s="78">
        <f aca="true" t="shared" si="117" ref="R63:R73">_xlfn.IFERROR(VLOOKUP($B63,$B$83:$R$138,17,FALSE),0)</f>
        <v>6100</v>
      </c>
      <c r="S63" s="45">
        <f aca="true" t="shared" si="118" ref="S63:S73">_xlfn.IFERROR(VLOOKUP($B63,$B$83:$T$138,18,FALSE),0)</f>
        <v>1013</v>
      </c>
      <c r="T63" s="45">
        <f aca="true" t="shared" si="119" ref="T63:T73">_xlfn.IFERROR(VLOOKUP($B63,$B$83:$T$138,19,FALSE),0)</f>
        <v>0</v>
      </c>
      <c r="U63" s="45">
        <f aca="true" t="shared" si="120" ref="U63:U73">_xlfn.IFERROR(VLOOKUP($B63,$B$83:$V$138,20,FALSE),0)</f>
        <v>0</v>
      </c>
      <c r="V63" s="45">
        <f aca="true" t="shared" si="121" ref="V63:V73">_xlfn.IFERROR(VLOOKUP($B63,$B$83:$V$138,21,FALSE),0)</f>
        <v>126232</v>
      </c>
      <c r="W63" s="45">
        <f aca="true" t="shared" si="122" ref="W63:W73">_xlfn.IFERROR(VLOOKUP($B63,$B$83:$X$138,22,FALSE),0)</f>
        <v>97287</v>
      </c>
      <c r="X63" s="46">
        <f>V63-W63</f>
        <v>28945</v>
      </c>
      <c r="Y63" s="44">
        <f t="shared" si="19"/>
        <v>0.29752176549795967</v>
      </c>
      <c r="Z63" s="44"/>
    </row>
    <row r="64" spans="2:26" ht="12" customHeight="1">
      <c r="B64" s="83" t="s">
        <v>56</v>
      </c>
      <c r="C64" s="78">
        <f t="shared" si="103"/>
        <v>0</v>
      </c>
      <c r="D64" s="78">
        <f t="shared" si="104"/>
        <v>0</v>
      </c>
      <c r="E64" s="78">
        <f t="shared" si="105"/>
        <v>0</v>
      </c>
      <c r="F64" s="78">
        <f t="shared" si="106"/>
        <v>0</v>
      </c>
      <c r="G64" s="78">
        <f t="shared" si="107"/>
        <v>0</v>
      </c>
      <c r="H64" s="78">
        <f t="shared" si="108"/>
        <v>0</v>
      </c>
      <c r="I64" s="78">
        <f t="shared" si="109"/>
        <v>0</v>
      </c>
      <c r="J64" s="78">
        <f t="shared" si="110"/>
        <v>0</v>
      </c>
      <c r="K64" s="78">
        <f t="shared" si="111"/>
        <v>0</v>
      </c>
      <c r="L64" s="78">
        <f t="shared" si="112"/>
        <v>0</v>
      </c>
      <c r="M64" s="78">
        <f t="shared" si="113"/>
        <v>0</v>
      </c>
      <c r="N64" s="79">
        <f>_xlfn.IFERROR(VLOOKUP($B64,$B$83:$N$138,13,FALSE),0)</f>
        <v>0</v>
      </c>
      <c r="O64" s="78">
        <f t="shared" si="114"/>
        <v>0</v>
      </c>
      <c r="P64" s="79">
        <f t="shared" si="115"/>
        <v>0</v>
      </c>
      <c r="Q64" s="78">
        <f t="shared" si="116"/>
        <v>0</v>
      </c>
      <c r="R64" s="78">
        <f t="shared" si="117"/>
        <v>0</v>
      </c>
      <c r="S64" s="45">
        <f t="shared" si="118"/>
        <v>0</v>
      </c>
      <c r="T64" s="45">
        <f t="shared" si="119"/>
        <v>0</v>
      </c>
      <c r="U64" s="45">
        <f t="shared" si="120"/>
        <v>1774172</v>
      </c>
      <c r="V64" s="45">
        <f t="shared" si="121"/>
        <v>1774172</v>
      </c>
      <c r="W64" s="45">
        <f t="shared" si="122"/>
        <v>1389562</v>
      </c>
      <c r="X64" s="46">
        <f>V64-W64</f>
        <v>384610</v>
      </c>
      <c r="Y64" s="44">
        <f t="shared" si="19"/>
        <v>0.27678505888906</v>
      </c>
      <c r="Z64" s="44"/>
    </row>
    <row r="65" spans="2:26" ht="12" customHeight="1">
      <c r="B65" s="83" t="s">
        <v>64</v>
      </c>
      <c r="C65" s="78">
        <f t="shared" si="103"/>
        <v>0</v>
      </c>
      <c r="D65" s="78">
        <f t="shared" si="104"/>
        <v>0</v>
      </c>
      <c r="E65" s="78">
        <f t="shared" si="105"/>
        <v>0</v>
      </c>
      <c r="F65" s="78">
        <f t="shared" si="106"/>
        <v>0</v>
      </c>
      <c r="G65" s="78">
        <f t="shared" si="107"/>
        <v>0</v>
      </c>
      <c r="H65" s="78">
        <f t="shared" si="108"/>
        <v>0</v>
      </c>
      <c r="I65" s="78">
        <f t="shared" si="109"/>
        <v>0</v>
      </c>
      <c r="J65" s="78">
        <f t="shared" si="110"/>
        <v>0</v>
      </c>
      <c r="K65" s="78">
        <f t="shared" si="111"/>
        <v>0</v>
      </c>
      <c r="L65" s="78">
        <f t="shared" si="112"/>
        <v>1752</v>
      </c>
      <c r="M65" s="78">
        <f t="shared" si="113"/>
        <v>0</v>
      </c>
      <c r="N65" s="79">
        <f>_xlfn.IFERROR(VLOOKUP($B65,$B$83:$N$138,13,FALSE),0)</f>
        <v>0</v>
      </c>
      <c r="O65" s="78">
        <f t="shared" si="114"/>
        <v>0</v>
      </c>
      <c r="P65" s="79">
        <f t="shared" si="115"/>
        <v>0</v>
      </c>
      <c r="Q65" s="78">
        <f t="shared" si="116"/>
        <v>0</v>
      </c>
      <c r="R65" s="78">
        <f t="shared" si="117"/>
        <v>0</v>
      </c>
      <c r="S65" s="45">
        <f t="shared" si="118"/>
        <v>0</v>
      </c>
      <c r="T65" s="45">
        <f t="shared" si="119"/>
        <v>0</v>
      </c>
      <c r="U65" s="45">
        <f t="shared" si="120"/>
        <v>0</v>
      </c>
      <c r="V65" s="45">
        <f t="shared" si="121"/>
        <v>1752</v>
      </c>
      <c r="W65" s="45">
        <f t="shared" si="122"/>
        <v>1568</v>
      </c>
      <c r="X65" s="46">
        <f>V65-W65</f>
        <v>184</v>
      </c>
      <c r="Y65" s="44">
        <f t="shared" si="19"/>
        <v>0.11734693877551021</v>
      </c>
      <c r="Z65" s="44"/>
    </row>
    <row r="66" spans="2:26" ht="12" customHeight="1">
      <c r="B66" s="76" t="s">
        <v>67</v>
      </c>
      <c r="C66" s="78">
        <f t="shared" si="103"/>
        <v>14776</v>
      </c>
      <c r="D66" s="78">
        <f t="shared" si="104"/>
        <v>14760</v>
      </c>
      <c r="E66" s="78">
        <f t="shared" si="105"/>
        <v>15430</v>
      </c>
      <c r="F66" s="78">
        <f t="shared" si="106"/>
        <v>5743</v>
      </c>
      <c r="G66" s="78">
        <f t="shared" si="107"/>
        <v>5835</v>
      </c>
      <c r="H66" s="78">
        <f t="shared" si="108"/>
        <v>6371</v>
      </c>
      <c r="I66" s="78">
        <f t="shared" si="109"/>
        <v>11381</v>
      </c>
      <c r="J66" s="78">
        <f t="shared" si="110"/>
        <v>12869</v>
      </c>
      <c r="K66" s="78">
        <f t="shared" si="111"/>
        <v>14670</v>
      </c>
      <c r="L66" s="78">
        <f t="shared" si="112"/>
        <v>55010</v>
      </c>
      <c r="M66" s="78">
        <f t="shared" si="113"/>
        <v>0</v>
      </c>
      <c r="N66" s="79">
        <v>0</v>
      </c>
      <c r="O66" s="78">
        <f t="shared" si="114"/>
        <v>19916</v>
      </c>
      <c r="P66" s="79">
        <f t="shared" si="115"/>
        <v>0</v>
      </c>
      <c r="Q66" s="78">
        <f t="shared" si="116"/>
        <v>25853</v>
      </c>
      <c r="R66" s="78">
        <f t="shared" si="117"/>
        <v>38050</v>
      </c>
      <c r="S66" s="45">
        <f t="shared" si="118"/>
        <v>31579</v>
      </c>
      <c r="T66" s="45">
        <f t="shared" si="119"/>
        <v>11711</v>
      </c>
      <c r="U66" s="45">
        <f t="shared" si="120"/>
        <v>18449</v>
      </c>
      <c r="V66" s="45">
        <f t="shared" si="121"/>
        <v>302403</v>
      </c>
      <c r="W66" s="45">
        <f t="shared" si="122"/>
        <v>264981</v>
      </c>
      <c r="X66" s="46">
        <f>V66-W66</f>
        <v>37422</v>
      </c>
      <c r="Y66" s="44">
        <f t="shared" si="19"/>
        <v>0.14122521992142834</v>
      </c>
      <c r="Z66" s="44"/>
    </row>
    <row r="67" spans="2:26" ht="12" customHeight="1">
      <c r="B67" s="76" t="s">
        <v>68</v>
      </c>
      <c r="C67" s="78">
        <f t="shared" si="103"/>
        <v>3418</v>
      </c>
      <c r="D67" s="78">
        <f t="shared" si="104"/>
        <v>50093</v>
      </c>
      <c r="E67" s="78">
        <f t="shared" si="105"/>
        <v>8500</v>
      </c>
      <c r="F67" s="78">
        <f t="shared" si="106"/>
        <v>2921</v>
      </c>
      <c r="G67" s="78">
        <f t="shared" si="107"/>
        <v>740</v>
      </c>
      <c r="H67" s="78">
        <f t="shared" si="108"/>
        <v>8440</v>
      </c>
      <c r="I67" s="78">
        <f t="shared" si="109"/>
        <v>5060</v>
      </c>
      <c r="J67" s="78">
        <f t="shared" si="110"/>
        <v>77763</v>
      </c>
      <c r="K67" s="78">
        <f t="shared" si="111"/>
        <v>87452</v>
      </c>
      <c r="L67" s="78">
        <f t="shared" si="112"/>
        <v>28155</v>
      </c>
      <c r="M67" s="78">
        <f t="shared" si="113"/>
        <v>1120</v>
      </c>
      <c r="N67" s="79">
        <v>0</v>
      </c>
      <c r="O67" s="78">
        <f t="shared" si="114"/>
        <v>104469</v>
      </c>
      <c r="P67" s="79">
        <f t="shared" si="115"/>
        <v>0</v>
      </c>
      <c r="Q67" s="78">
        <f t="shared" si="116"/>
        <v>6062</v>
      </c>
      <c r="R67" s="78">
        <f t="shared" si="117"/>
        <v>22915</v>
      </c>
      <c r="S67" s="45">
        <f t="shared" si="118"/>
        <v>11278</v>
      </c>
      <c r="T67" s="45">
        <f t="shared" si="119"/>
        <v>3855</v>
      </c>
      <c r="U67" s="45">
        <f t="shared" si="120"/>
        <v>5424</v>
      </c>
      <c r="V67" s="45">
        <f t="shared" si="121"/>
        <v>427665</v>
      </c>
      <c r="W67" s="45">
        <f t="shared" si="122"/>
        <v>262985</v>
      </c>
      <c r="X67" s="46">
        <f>V67-W67</f>
        <v>164680</v>
      </c>
      <c r="Y67" s="44">
        <f t="shared" si="19"/>
        <v>0.6261954103846227</v>
      </c>
      <c r="Z67" s="44"/>
    </row>
    <row r="68" spans="2:26" ht="12" customHeight="1">
      <c r="B68" s="76" t="s">
        <v>72</v>
      </c>
      <c r="C68" s="78">
        <f t="shared" si="103"/>
        <v>0</v>
      </c>
      <c r="D68" s="78">
        <f t="shared" si="104"/>
        <v>0</v>
      </c>
      <c r="E68" s="78">
        <f t="shared" si="105"/>
        <v>0</v>
      </c>
      <c r="F68" s="78">
        <f t="shared" si="106"/>
        <v>0</v>
      </c>
      <c r="G68" s="78">
        <f t="shared" si="107"/>
        <v>0</v>
      </c>
      <c r="H68" s="78">
        <f t="shared" si="108"/>
        <v>0</v>
      </c>
      <c r="I68" s="78">
        <f t="shared" si="109"/>
        <v>0</v>
      </c>
      <c r="J68" s="78">
        <f t="shared" si="110"/>
        <v>0</v>
      </c>
      <c r="K68" s="78">
        <f t="shared" si="111"/>
        <v>0</v>
      </c>
      <c r="L68" s="78">
        <f t="shared" si="112"/>
        <v>0</v>
      </c>
      <c r="M68" s="78">
        <f t="shared" si="113"/>
        <v>0</v>
      </c>
      <c r="N68" s="79">
        <f>_xlfn.IFERROR(VLOOKUP($B68,$B$83:$N$138,13,FALSE),0)</f>
        <v>0</v>
      </c>
      <c r="O68" s="78">
        <f t="shared" si="114"/>
        <v>0</v>
      </c>
      <c r="P68" s="79">
        <f t="shared" si="115"/>
        <v>0</v>
      </c>
      <c r="Q68" s="78">
        <f t="shared" si="116"/>
        <v>0</v>
      </c>
      <c r="R68" s="78">
        <f t="shared" si="117"/>
        <v>0</v>
      </c>
      <c r="S68" s="45">
        <f t="shared" si="118"/>
        <v>0</v>
      </c>
      <c r="T68" s="45">
        <f t="shared" si="119"/>
        <v>0</v>
      </c>
      <c r="U68" s="45">
        <f t="shared" si="120"/>
        <v>6182</v>
      </c>
      <c r="V68" s="45">
        <f t="shared" si="121"/>
        <v>6182</v>
      </c>
      <c r="W68" s="45">
        <f t="shared" si="122"/>
        <v>5730</v>
      </c>
      <c r="X68" s="46">
        <f>V68-W68</f>
        <v>452</v>
      </c>
      <c r="Y68" s="44">
        <f t="shared" si="19"/>
        <v>0.07888307155322861</v>
      </c>
      <c r="Z68" s="44"/>
    </row>
    <row r="69" spans="2:26" ht="12" customHeight="1">
      <c r="B69" s="76" t="s">
        <v>73</v>
      </c>
      <c r="C69" s="78">
        <f t="shared" si="103"/>
        <v>8335</v>
      </c>
      <c r="D69" s="78">
        <f t="shared" si="104"/>
        <v>876</v>
      </c>
      <c r="E69" s="78">
        <f t="shared" si="105"/>
        <v>2842</v>
      </c>
      <c r="F69" s="78">
        <f t="shared" si="106"/>
        <v>680</v>
      </c>
      <c r="G69" s="78">
        <f t="shared" si="107"/>
        <v>2489</v>
      </c>
      <c r="H69" s="78">
        <f t="shared" si="108"/>
        <v>5065</v>
      </c>
      <c r="I69" s="78">
        <f t="shared" si="109"/>
        <v>2828</v>
      </c>
      <c r="J69" s="78">
        <f t="shared" si="110"/>
        <v>42129</v>
      </c>
      <c r="K69" s="78">
        <f t="shared" si="111"/>
        <v>4524</v>
      </c>
      <c r="L69" s="78">
        <f t="shared" si="112"/>
        <v>6967</v>
      </c>
      <c r="M69" s="78">
        <f t="shared" si="113"/>
        <v>61091</v>
      </c>
      <c r="N69" s="79">
        <v>0</v>
      </c>
      <c r="O69" s="78">
        <f t="shared" si="114"/>
        <v>181065</v>
      </c>
      <c r="P69" s="79">
        <f t="shared" si="115"/>
        <v>0</v>
      </c>
      <c r="Q69" s="78">
        <f t="shared" si="116"/>
        <v>191839</v>
      </c>
      <c r="R69" s="78">
        <f t="shared" si="117"/>
        <v>21100</v>
      </c>
      <c r="S69" s="45">
        <f t="shared" si="118"/>
        <v>1011</v>
      </c>
      <c r="T69" s="45">
        <f t="shared" si="119"/>
        <v>1790</v>
      </c>
      <c r="U69" s="45">
        <f t="shared" si="120"/>
        <v>14394</v>
      </c>
      <c r="V69" s="45">
        <f t="shared" si="121"/>
        <v>549025</v>
      </c>
      <c r="W69" s="45">
        <f t="shared" si="122"/>
        <v>528919</v>
      </c>
      <c r="X69" s="46">
        <f>V69-W69</f>
        <v>20106</v>
      </c>
      <c r="Y69" s="44">
        <f t="shared" si="19"/>
        <v>0.038013382011234234</v>
      </c>
      <c r="Z69" s="44"/>
    </row>
    <row r="70" spans="2:26" ht="12" customHeight="1">
      <c r="B70" s="83" t="s">
        <v>76</v>
      </c>
      <c r="C70" s="78">
        <f t="shared" si="103"/>
        <v>537</v>
      </c>
      <c r="D70" s="78">
        <f t="shared" si="104"/>
        <v>274</v>
      </c>
      <c r="E70" s="78">
        <f t="shared" si="105"/>
        <v>1099</v>
      </c>
      <c r="F70" s="78">
        <f t="shared" si="106"/>
        <v>443</v>
      </c>
      <c r="G70" s="78">
        <f t="shared" si="107"/>
        <v>192</v>
      </c>
      <c r="H70" s="78">
        <f t="shared" si="108"/>
        <v>752</v>
      </c>
      <c r="I70" s="78">
        <f t="shared" si="109"/>
        <v>19</v>
      </c>
      <c r="J70" s="78">
        <f t="shared" si="110"/>
        <v>537</v>
      </c>
      <c r="K70" s="78">
        <f t="shared" si="111"/>
        <v>140</v>
      </c>
      <c r="L70" s="78">
        <f t="shared" si="112"/>
        <v>332</v>
      </c>
      <c r="M70" s="78">
        <f t="shared" si="113"/>
        <v>0</v>
      </c>
      <c r="N70" s="79">
        <v>0</v>
      </c>
      <c r="O70" s="78">
        <f t="shared" si="114"/>
        <v>1144</v>
      </c>
      <c r="P70" s="79">
        <f t="shared" si="115"/>
        <v>0</v>
      </c>
      <c r="Q70" s="78">
        <f t="shared" si="116"/>
        <v>0</v>
      </c>
      <c r="R70" s="78">
        <f t="shared" si="117"/>
        <v>300</v>
      </c>
      <c r="S70" s="45">
        <f t="shared" si="118"/>
        <v>215</v>
      </c>
      <c r="T70" s="45">
        <f t="shared" si="119"/>
        <v>456</v>
      </c>
      <c r="U70" s="45">
        <f t="shared" si="120"/>
        <v>171</v>
      </c>
      <c r="V70" s="45">
        <f t="shared" si="121"/>
        <v>6611</v>
      </c>
      <c r="W70" s="45">
        <f t="shared" si="122"/>
        <v>5954</v>
      </c>
      <c r="X70" s="46">
        <f>V70-W70</f>
        <v>657</v>
      </c>
      <c r="Y70" s="44">
        <f>IF(W70=0,100%,X70/W70)</f>
        <v>0.11034598589183742</v>
      </c>
      <c r="Z70" s="44"/>
    </row>
    <row r="71" spans="2:26" ht="12" customHeight="1">
      <c r="B71" s="76" t="s">
        <v>82</v>
      </c>
      <c r="C71" s="78">
        <f t="shared" si="103"/>
        <v>0</v>
      </c>
      <c r="D71" s="78">
        <f t="shared" si="104"/>
        <v>0</v>
      </c>
      <c r="E71" s="78">
        <f t="shared" si="105"/>
        <v>0</v>
      </c>
      <c r="F71" s="78">
        <f t="shared" si="106"/>
        <v>0</v>
      </c>
      <c r="G71" s="78">
        <f t="shared" si="107"/>
        <v>0</v>
      </c>
      <c r="H71" s="78">
        <f t="shared" si="108"/>
        <v>0</v>
      </c>
      <c r="I71" s="78">
        <f t="shared" si="109"/>
        <v>1600</v>
      </c>
      <c r="J71" s="78">
        <f t="shared" si="110"/>
        <v>0</v>
      </c>
      <c r="K71" s="78">
        <f t="shared" si="111"/>
        <v>0</v>
      </c>
      <c r="L71" s="78">
        <f t="shared" si="112"/>
        <v>0</v>
      </c>
      <c r="M71" s="78">
        <f t="shared" si="113"/>
        <v>0</v>
      </c>
      <c r="N71" s="79">
        <f>_xlfn.IFERROR(VLOOKUP($B71,$B$83:$N$138,13,FALSE),0)</f>
        <v>0</v>
      </c>
      <c r="O71" s="78">
        <f t="shared" si="114"/>
        <v>0</v>
      </c>
      <c r="P71" s="79">
        <f t="shared" si="115"/>
        <v>0</v>
      </c>
      <c r="Q71" s="78">
        <f t="shared" si="116"/>
        <v>0</v>
      </c>
      <c r="R71" s="78">
        <f t="shared" si="117"/>
        <v>0</v>
      </c>
      <c r="S71" s="45">
        <f t="shared" si="118"/>
        <v>0</v>
      </c>
      <c r="T71" s="45">
        <f t="shared" si="119"/>
        <v>0</v>
      </c>
      <c r="U71" s="45">
        <f t="shared" si="120"/>
        <v>0</v>
      </c>
      <c r="V71" s="45">
        <f t="shared" si="121"/>
        <v>1600</v>
      </c>
      <c r="W71" s="45">
        <f t="shared" si="122"/>
        <v>1430</v>
      </c>
      <c r="X71" s="46">
        <f>V71-W71</f>
        <v>170</v>
      </c>
      <c r="Y71" s="44">
        <f t="shared" si="19"/>
        <v>0.11888111888111888</v>
      </c>
      <c r="Z71" s="44"/>
    </row>
    <row r="72" spans="2:26" ht="12" customHeight="1">
      <c r="B72" s="83" t="s">
        <v>93</v>
      </c>
      <c r="C72" s="78">
        <f t="shared" si="103"/>
        <v>0</v>
      </c>
      <c r="D72" s="78">
        <f t="shared" si="104"/>
        <v>0</v>
      </c>
      <c r="E72" s="78">
        <f t="shared" si="105"/>
        <v>0</v>
      </c>
      <c r="F72" s="78">
        <f t="shared" si="106"/>
        <v>0</v>
      </c>
      <c r="G72" s="78">
        <f t="shared" si="107"/>
        <v>0</v>
      </c>
      <c r="H72" s="78">
        <f t="shared" si="108"/>
        <v>0</v>
      </c>
      <c r="I72" s="78">
        <f t="shared" si="109"/>
        <v>0</v>
      </c>
      <c r="J72" s="78">
        <f t="shared" si="110"/>
        <v>0</v>
      </c>
      <c r="K72" s="78">
        <f t="shared" si="111"/>
        <v>0</v>
      </c>
      <c r="L72" s="78">
        <f t="shared" si="112"/>
        <v>0</v>
      </c>
      <c r="M72" s="78">
        <f t="shared" si="113"/>
        <v>0</v>
      </c>
      <c r="N72" s="79">
        <f>_xlfn.IFERROR(VLOOKUP($B72,$B$83:$N$138,13,FALSE),0)</f>
        <v>0</v>
      </c>
      <c r="O72" s="78">
        <f t="shared" si="114"/>
        <v>781355</v>
      </c>
      <c r="P72" s="79">
        <f t="shared" si="115"/>
        <v>0</v>
      </c>
      <c r="Q72" s="78">
        <f t="shared" si="116"/>
        <v>0</v>
      </c>
      <c r="R72" s="78">
        <f t="shared" si="117"/>
        <v>0</v>
      </c>
      <c r="S72" s="45">
        <f t="shared" si="118"/>
        <v>0</v>
      </c>
      <c r="T72" s="45">
        <f t="shared" si="119"/>
        <v>0</v>
      </c>
      <c r="U72" s="45">
        <f t="shared" si="120"/>
        <v>0</v>
      </c>
      <c r="V72" s="45">
        <f t="shared" si="121"/>
        <v>781355</v>
      </c>
      <c r="W72" s="45">
        <f t="shared" si="122"/>
        <v>902968</v>
      </c>
      <c r="X72" s="46">
        <f>V72-W72</f>
        <v>-121613</v>
      </c>
      <c r="Y72" s="44">
        <f>IF(W72=0,100%,X72/W72)</f>
        <v>-0.13468140620708596</v>
      </c>
      <c r="Z72" s="44"/>
    </row>
    <row r="73" spans="2:26" ht="12" customHeight="1">
      <c r="B73" s="83" t="s">
        <v>41</v>
      </c>
      <c r="C73" s="78">
        <f t="shared" si="103"/>
        <v>0</v>
      </c>
      <c r="D73" s="78">
        <f t="shared" si="104"/>
        <v>0</v>
      </c>
      <c r="E73" s="78">
        <f t="shared" si="105"/>
        <v>0</v>
      </c>
      <c r="F73" s="78">
        <f t="shared" si="106"/>
        <v>25000</v>
      </c>
      <c r="G73" s="78">
        <f t="shared" si="107"/>
        <v>0</v>
      </c>
      <c r="H73" s="78">
        <f t="shared" si="108"/>
        <v>0</v>
      </c>
      <c r="I73" s="78">
        <f t="shared" si="109"/>
        <v>0</v>
      </c>
      <c r="J73" s="78">
        <f t="shared" si="110"/>
        <v>0</v>
      </c>
      <c r="K73" s="78">
        <f t="shared" si="111"/>
        <v>0</v>
      </c>
      <c r="L73" s="78">
        <f t="shared" si="112"/>
        <v>0</v>
      </c>
      <c r="M73" s="78">
        <f t="shared" si="113"/>
        <v>0</v>
      </c>
      <c r="N73" s="79">
        <f>_xlfn.IFERROR(VLOOKUP($B73,$B$83:$N$138,13,FALSE),0)</f>
        <v>0</v>
      </c>
      <c r="O73" s="78">
        <f t="shared" si="114"/>
        <v>0</v>
      </c>
      <c r="P73" s="79">
        <f t="shared" si="115"/>
        <v>0</v>
      </c>
      <c r="Q73" s="78">
        <f t="shared" si="116"/>
        <v>0</v>
      </c>
      <c r="R73" s="78">
        <f t="shared" si="117"/>
        <v>0</v>
      </c>
      <c r="S73" s="45">
        <f t="shared" si="118"/>
        <v>0</v>
      </c>
      <c r="T73" s="45">
        <f t="shared" si="119"/>
        <v>0</v>
      </c>
      <c r="U73" s="45">
        <f t="shared" si="120"/>
        <v>0</v>
      </c>
      <c r="V73" s="45">
        <f t="shared" si="121"/>
        <v>25000</v>
      </c>
      <c r="W73" s="45">
        <f t="shared" si="122"/>
        <v>0</v>
      </c>
      <c r="X73" s="46">
        <f>V73-W73</f>
        <v>25000</v>
      </c>
      <c r="Y73" s="44">
        <f>IF(W73=0,100%,X73/W73)</f>
        <v>1</v>
      </c>
      <c r="Z73" s="44"/>
    </row>
    <row r="74" spans="1:26" s="49" customFormat="1" ht="12" customHeight="1">
      <c r="A74" s="125"/>
      <c r="B74" s="81" t="s">
        <v>114</v>
      </c>
      <c r="C74" s="82">
        <f>SUM(C63:C73)</f>
        <v>29374</v>
      </c>
      <c r="D74" s="82">
        <f aca="true" t="shared" si="123" ref="D74:X74">SUM(D63:D73)</f>
        <v>68385</v>
      </c>
      <c r="E74" s="82">
        <f t="shared" si="123"/>
        <v>87568</v>
      </c>
      <c r="F74" s="82">
        <f t="shared" si="123"/>
        <v>34787</v>
      </c>
      <c r="G74" s="82">
        <f t="shared" si="123"/>
        <v>9256</v>
      </c>
      <c r="H74" s="82">
        <f t="shared" si="123"/>
        <v>29046</v>
      </c>
      <c r="I74" s="82">
        <f t="shared" si="123"/>
        <v>21534</v>
      </c>
      <c r="J74" s="82">
        <f t="shared" si="123"/>
        <v>133898</v>
      </c>
      <c r="K74" s="82">
        <f t="shared" si="123"/>
        <v>108357</v>
      </c>
      <c r="L74" s="82">
        <f t="shared" si="123"/>
        <v>105157</v>
      </c>
      <c r="M74" s="82">
        <f t="shared" si="123"/>
        <v>62211</v>
      </c>
      <c r="N74" s="82">
        <f t="shared" si="123"/>
        <v>0</v>
      </c>
      <c r="O74" s="82">
        <f t="shared" si="123"/>
        <v>1118505</v>
      </c>
      <c r="P74" s="82">
        <f t="shared" si="123"/>
        <v>0</v>
      </c>
      <c r="Q74" s="82">
        <f t="shared" si="123"/>
        <v>223754</v>
      </c>
      <c r="R74" s="82">
        <f t="shared" si="123"/>
        <v>88465</v>
      </c>
      <c r="S74" s="82">
        <f t="shared" si="123"/>
        <v>45096</v>
      </c>
      <c r="T74" s="82">
        <f t="shared" si="123"/>
        <v>17812</v>
      </c>
      <c r="U74" s="82">
        <f t="shared" si="123"/>
        <v>1818792</v>
      </c>
      <c r="V74" s="82">
        <f t="shared" si="123"/>
        <v>4001997</v>
      </c>
      <c r="W74" s="82">
        <f t="shared" si="123"/>
        <v>3461384</v>
      </c>
      <c r="X74" s="82">
        <f t="shared" si="123"/>
        <v>540613</v>
      </c>
      <c r="Y74" s="47">
        <f>IF(W74=0,100%,X74/W74)</f>
        <v>0.15618405816864006</v>
      </c>
      <c r="Z74" s="47"/>
    </row>
    <row r="75" spans="2:26" ht="7.5" customHeight="1" thickBot="1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  <c r="O75" s="85"/>
      <c r="P75" s="86"/>
      <c r="Q75" s="85"/>
      <c r="R75" s="51"/>
      <c r="S75" s="51"/>
      <c r="T75" s="51"/>
      <c r="U75" s="51"/>
      <c r="V75" s="51"/>
      <c r="W75" s="51"/>
      <c r="X75" s="51"/>
      <c r="Y75" s="52"/>
      <c r="Z75" s="52"/>
    </row>
    <row r="76" spans="2:26" ht="15" customHeight="1" thickBot="1">
      <c r="B76" s="87" t="s">
        <v>105</v>
      </c>
      <c r="C76" s="88">
        <f>C24+C34+C47+C55+C62+C74</f>
        <v>1601822</v>
      </c>
      <c r="D76" s="88">
        <f aca="true" t="shared" si="124" ref="D76:X76">D24+D34+D47+D55+D62+D74</f>
        <v>739081</v>
      </c>
      <c r="E76" s="88">
        <f t="shared" si="124"/>
        <v>183630</v>
      </c>
      <c r="F76" s="88">
        <f t="shared" si="124"/>
        <v>1227605</v>
      </c>
      <c r="G76" s="88">
        <f t="shared" si="124"/>
        <v>1966098</v>
      </c>
      <c r="H76" s="88">
        <f t="shared" si="124"/>
        <v>1640270</v>
      </c>
      <c r="I76" s="88">
        <f t="shared" si="124"/>
        <v>1188011</v>
      </c>
      <c r="J76" s="88">
        <f t="shared" si="124"/>
        <v>3118721</v>
      </c>
      <c r="K76" s="88">
        <f t="shared" si="124"/>
        <v>1812675</v>
      </c>
      <c r="L76" s="88">
        <f t="shared" si="124"/>
        <v>6991386</v>
      </c>
      <c r="M76" s="88">
        <f t="shared" si="124"/>
        <v>9959079</v>
      </c>
      <c r="N76" s="88">
        <f t="shared" si="124"/>
        <v>0</v>
      </c>
      <c r="O76" s="88">
        <f t="shared" si="124"/>
        <v>76585841</v>
      </c>
      <c r="P76" s="88">
        <f t="shared" si="124"/>
        <v>0</v>
      </c>
      <c r="Q76" s="88">
        <f t="shared" si="124"/>
        <v>23210398</v>
      </c>
      <c r="R76" s="88">
        <f t="shared" si="124"/>
        <v>34536584</v>
      </c>
      <c r="S76" s="88">
        <f t="shared" si="124"/>
        <v>905029</v>
      </c>
      <c r="T76" s="88">
        <f t="shared" si="124"/>
        <v>2669147</v>
      </c>
      <c r="U76" s="88">
        <f t="shared" si="124"/>
        <v>17414623</v>
      </c>
      <c r="V76" s="88">
        <f>V24+V34+V47+V55+V62+V74+1</f>
        <v>185750000</v>
      </c>
      <c r="W76" s="88">
        <f>W24+W34+W47+W55+W62+W74+1</f>
        <v>155100000</v>
      </c>
      <c r="X76" s="88">
        <f t="shared" si="124"/>
        <v>30650000</v>
      </c>
      <c r="Y76" s="55">
        <f>IF(W76=0,100%,X76/W76)</f>
        <v>0.19761444229529335</v>
      </c>
      <c r="Z76" s="55"/>
    </row>
    <row r="77" spans="1:17" s="56" customFormat="1" ht="3" customHeight="1" thickTop="1">
      <c r="A77" s="125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1"/>
      <c r="O77" s="90"/>
      <c r="P77" s="91"/>
      <c r="Q77" s="90"/>
    </row>
    <row r="78" spans="1:22" s="56" customFormat="1" ht="15">
      <c r="A78" s="12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72"/>
      <c r="O78" s="68"/>
      <c r="P78" s="72"/>
      <c r="Q78" s="68"/>
      <c r="R78" s="68"/>
      <c r="S78" s="68"/>
      <c r="T78" s="68"/>
      <c r="U78" s="68"/>
      <c r="V78" s="68"/>
    </row>
    <row r="79" spans="2:22" ht="15" hidden="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72"/>
      <c r="O79" s="67"/>
      <c r="P79" s="72"/>
      <c r="Q79" s="67"/>
      <c r="R79" s="67"/>
      <c r="S79" s="67"/>
      <c r="T79" s="67"/>
      <c r="U79" s="67"/>
      <c r="V79" s="67"/>
    </row>
    <row r="80" ht="15" hidden="1">
      <c r="B80" s="57"/>
    </row>
    <row r="81" spans="2:26" ht="36" hidden="1">
      <c r="B81" s="58" t="s">
        <v>0</v>
      </c>
      <c r="C81" s="59" t="s">
        <v>108</v>
      </c>
      <c r="D81" s="59" t="s">
        <v>1</v>
      </c>
      <c r="E81" s="59" t="s">
        <v>2</v>
      </c>
      <c r="F81" s="93" t="s">
        <v>3</v>
      </c>
      <c r="G81" s="93" t="s">
        <v>5</v>
      </c>
      <c r="H81" s="93" t="s">
        <v>6</v>
      </c>
      <c r="I81" s="93" t="s">
        <v>7</v>
      </c>
      <c r="J81" s="93" t="s">
        <v>8</v>
      </c>
      <c r="K81" s="93" t="s">
        <v>9</v>
      </c>
      <c r="L81" s="93" t="s">
        <v>10</v>
      </c>
      <c r="M81" s="93" t="s">
        <v>11</v>
      </c>
      <c r="N81" s="94" t="s">
        <v>12</v>
      </c>
      <c r="O81" s="93" t="s">
        <v>109</v>
      </c>
      <c r="P81" s="94" t="s">
        <v>110</v>
      </c>
      <c r="Q81" s="93" t="s">
        <v>15</v>
      </c>
      <c r="R81" s="93" t="s">
        <v>16</v>
      </c>
      <c r="S81" s="93" t="s">
        <v>17</v>
      </c>
      <c r="T81" s="93" t="s">
        <v>18</v>
      </c>
      <c r="U81" s="93" t="s">
        <v>19</v>
      </c>
      <c r="V81" s="60" t="s">
        <v>111</v>
      </c>
      <c r="W81" s="60" t="s">
        <v>107</v>
      </c>
      <c r="X81" s="61" t="s">
        <v>22</v>
      </c>
      <c r="Y81" s="61" t="s">
        <v>23</v>
      </c>
      <c r="Z81" s="61" t="s">
        <v>23</v>
      </c>
    </row>
    <row r="82" spans="2:26" ht="15.75" hidden="1" thickBo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95"/>
      <c r="O82" s="40"/>
      <c r="P82" s="95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2:26" ht="15" hidden="1">
      <c r="B83" s="41" t="s">
        <v>24</v>
      </c>
      <c r="C83" s="42">
        <v>1375540</v>
      </c>
      <c r="D83" s="42">
        <v>335241</v>
      </c>
      <c r="E83" s="42">
        <v>84810</v>
      </c>
      <c r="F83" s="42">
        <v>346775</v>
      </c>
      <c r="G83" s="42">
        <v>488151</v>
      </c>
      <c r="H83" s="42">
        <v>912514</v>
      </c>
      <c r="I83" s="42">
        <v>667625</v>
      </c>
      <c r="J83" s="42">
        <v>661640</v>
      </c>
      <c r="K83" s="42">
        <v>1396928</v>
      </c>
      <c r="L83" s="42">
        <v>1393214</v>
      </c>
      <c r="M83" s="42">
        <v>0</v>
      </c>
      <c r="N83" s="96">
        <v>0</v>
      </c>
      <c r="O83" s="42">
        <v>10365417</v>
      </c>
      <c r="P83" s="96">
        <v>0</v>
      </c>
      <c r="Q83" s="42">
        <v>6337306</v>
      </c>
      <c r="R83" s="42">
        <v>8644678</v>
      </c>
      <c r="S83" s="42">
        <v>756496</v>
      </c>
      <c r="T83" s="42">
        <v>2308230</v>
      </c>
      <c r="U83" s="42">
        <v>5491985</v>
      </c>
      <c r="V83" s="42">
        <v>41689429</v>
      </c>
      <c r="W83" s="42">
        <v>37452067</v>
      </c>
      <c r="X83" s="42">
        <v>4237362</v>
      </c>
      <c r="Y83" s="62">
        <v>11.3</v>
      </c>
      <c r="Z83" s="62">
        <v>4.9</v>
      </c>
    </row>
    <row r="84" spans="2:26" ht="15" hidden="1">
      <c r="B84" s="41" t="s">
        <v>26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46176</v>
      </c>
      <c r="I84" s="45">
        <v>0</v>
      </c>
      <c r="J84" s="45">
        <v>128584</v>
      </c>
      <c r="K84" s="45">
        <v>0</v>
      </c>
      <c r="L84" s="45">
        <v>0</v>
      </c>
      <c r="M84" s="45">
        <v>0</v>
      </c>
      <c r="N84" s="97">
        <v>0</v>
      </c>
      <c r="O84" s="45">
        <v>0</v>
      </c>
      <c r="P84" s="97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174760</v>
      </c>
      <c r="W84" s="45">
        <v>179568</v>
      </c>
      <c r="X84" s="45">
        <v>-4808</v>
      </c>
      <c r="Y84" s="62">
        <v>-2.7</v>
      </c>
      <c r="Z84" s="62">
        <v>-100</v>
      </c>
    </row>
    <row r="85" spans="2:26" ht="15" hidden="1">
      <c r="B85" s="41" t="s">
        <v>27</v>
      </c>
      <c r="C85" s="45">
        <v>456</v>
      </c>
      <c r="D85" s="45">
        <v>0</v>
      </c>
      <c r="E85" s="45">
        <v>0</v>
      </c>
      <c r="F85" s="45">
        <v>0</v>
      </c>
      <c r="G85" s="45">
        <v>0</v>
      </c>
      <c r="H85" s="45">
        <v>2396</v>
      </c>
      <c r="I85" s="45">
        <v>0</v>
      </c>
      <c r="J85" s="45">
        <v>0</v>
      </c>
      <c r="K85" s="45">
        <v>1947</v>
      </c>
      <c r="L85" s="45">
        <v>1554</v>
      </c>
      <c r="M85" s="45">
        <v>0</v>
      </c>
      <c r="N85" s="97">
        <v>0</v>
      </c>
      <c r="O85" s="45">
        <v>366132</v>
      </c>
      <c r="P85" s="97">
        <v>0</v>
      </c>
      <c r="Q85" s="45">
        <v>85663</v>
      </c>
      <c r="R85" s="45">
        <v>340000</v>
      </c>
      <c r="S85" s="45">
        <v>0</v>
      </c>
      <c r="T85" s="45">
        <v>0</v>
      </c>
      <c r="U85" s="45">
        <v>23028</v>
      </c>
      <c r="V85" s="45">
        <v>821176</v>
      </c>
      <c r="W85" s="45">
        <v>717831</v>
      </c>
      <c r="X85" s="45">
        <v>103345</v>
      </c>
      <c r="Y85" s="62">
        <v>14.4</v>
      </c>
      <c r="Z85" s="62">
        <v>-19.6</v>
      </c>
    </row>
    <row r="86" spans="2:26" ht="15" hidden="1">
      <c r="B86" s="41" t="s">
        <v>28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9161931</v>
      </c>
      <c r="N86" s="97">
        <v>0</v>
      </c>
      <c r="O86" s="45">
        <v>0</v>
      </c>
      <c r="P86" s="97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9161931</v>
      </c>
      <c r="W86" s="45">
        <v>8349010</v>
      </c>
      <c r="X86" s="45">
        <v>812921</v>
      </c>
      <c r="Y86" s="62">
        <v>9.7</v>
      </c>
      <c r="Z86" s="62">
        <v>9.1</v>
      </c>
    </row>
    <row r="87" spans="2:26" ht="15" hidden="1">
      <c r="B87" s="41" t="s">
        <v>29</v>
      </c>
      <c r="C87" s="45">
        <v>184000</v>
      </c>
      <c r="D87" s="45">
        <v>37381</v>
      </c>
      <c r="E87" s="45">
        <v>11252</v>
      </c>
      <c r="F87" s="45">
        <v>46642</v>
      </c>
      <c r="G87" s="45">
        <v>66476</v>
      </c>
      <c r="H87" s="45">
        <v>116753</v>
      </c>
      <c r="I87" s="45">
        <v>89943</v>
      </c>
      <c r="J87" s="45">
        <v>87541</v>
      </c>
      <c r="K87" s="45">
        <v>185290</v>
      </c>
      <c r="L87" s="45">
        <v>185804</v>
      </c>
      <c r="M87" s="45">
        <v>0</v>
      </c>
      <c r="N87" s="97">
        <v>0</v>
      </c>
      <c r="O87" s="45">
        <v>1390511</v>
      </c>
      <c r="P87" s="97">
        <v>0</v>
      </c>
      <c r="Q87" s="45">
        <v>852287</v>
      </c>
      <c r="R87" s="45">
        <v>1142850</v>
      </c>
      <c r="S87" s="45">
        <v>100384</v>
      </c>
      <c r="T87" s="45">
        <v>303142</v>
      </c>
      <c r="U87" s="45">
        <v>729568</v>
      </c>
      <c r="V87" s="45">
        <v>5546124</v>
      </c>
      <c r="W87" s="45">
        <v>4966450</v>
      </c>
      <c r="X87" s="45">
        <v>579675</v>
      </c>
      <c r="Y87" s="62">
        <v>11.7</v>
      </c>
      <c r="Z87" s="62">
        <v>-7.7</v>
      </c>
    </row>
    <row r="88" spans="2:26" ht="15" hidden="1">
      <c r="B88" s="41" t="s">
        <v>30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6119</v>
      </c>
      <c r="I88" s="45">
        <v>0</v>
      </c>
      <c r="J88" s="45">
        <v>16966</v>
      </c>
      <c r="K88" s="45">
        <v>0</v>
      </c>
      <c r="L88" s="45">
        <v>0</v>
      </c>
      <c r="M88" s="45">
        <v>0</v>
      </c>
      <c r="N88" s="97">
        <v>0</v>
      </c>
      <c r="O88" s="45">
        <v>0</v>
      </c>
      <c r="P88" s="97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23085</v>
      </c>
      <c r="W88" s="45">
        <v>23408</v>
      </c>
      <c r="X88" s="45">
        <v>-323</v>
      </c>
      <c r="Y88" s="62">
        <v>-1.4</v>
      </c>
      <c r="Z88" s="62">
        <v>11.1</v>
      </c>
    </row>
    <row r="89" spans="2:26" ht="15" hidden="1">
      <c r="B89" s="41" t="s">
        <v>32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31575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97">
        <v>0</v>
      </c>
      <c r="O89" s="45">
        <v>0</v>
      </c>
      <c r="P89" s="97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31575</v>
      </c>
      <c r="W89" s="45">
        <v>27913</v>
      </c>
      <c r="X89" s="45">
        <v>3662</v>
      </c>
      <c r="Y89" s="62">
        <v>13.1</v>
      </c>
      <c r="Z89" s="62">
        <v>-18.4</v>
      </c>
    </row>
    <row r="90" spans="2:26" ht="15" hidden="1">
      <c r="B90" s="41" t="s">
        <v>33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227386</v>
      </c>
      <c r="N90" s="97">
        <v>0</v>
      </c>
      <c r="O90" s="45">
        <v>0</v>
      </c>
      <c r="P90" s="97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227386</v>
      </c>
      <c r="W90" s="45">
        <v>200000</v>
      </c>
      <c r="X90" s="45">
        <v>27386</v>
      </c>
      <c r="Y90" s="62">
        <v>13.7</v>
      </c>
      <c r="Z90" s="62">
        <v>-100</v>
      </c>
    </row>
    <row r="91" spans="2:26" ht="15" hidden="1">
      <c r="B91" s="41" t="s">
        <v>34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97">
        <v>0</v>
      </c>
      <c r="O91" s="45">
        <v>0</v>
      </c>
      <c r="P91" s="97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1920000</v>
      </c>
      <c r="X91" s="45">
        <v>-1920000</v>
      </c>
      <c r="Y91" s="62">
        <v>-100</v>
      </c>
      <c r="Z91" s="62">
        <v>7.8</v>
      </c>
    </row>
    <row r="92" spans="2:26" ht="15" hidden="1">
      <c r="B92" s="41" t="s">
        <v>35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382573</v>
      </c>
      <c r="N92" s="97">
        <v>0</v>
      </c>
      <c r="O92" s="45">
        <v>0</v>
      </c>
      <c r="P92" s="97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382573</v>
      </c>
      <c r="W92" s="45">
        <v>331395</v>
      </c>
      <c r="X92" s="45">
        <v>51178</v>
      </c>
      <c r="Y92" s="62">
        <v>15.4</v>
      </c>
      <c r="Z92" s="62">
        <v>0</v>
      </c>
    </row>
    <row r="93" spans="2:26" ht="15" hidden="1">
      <c r="B93" s="41" t="s">
        <v>36</v>
      </c>
      <c r="C93" s="45">
        <v>2308</v>
      </c>
      <c r="D93" s="45">
        <v>2382</v>
      </c>
      <c r="E93" s="45">
        <v>59697</v>
      </c>
      <c r="F93" s="45">
        <v>0</v>
      </c>
      <c r="G93" s="45">
        <v>0</v>
      </c>
      <c r="H93" s="45">
        <v>8418</v>
      </c>
      <c r="I93" s="45">
        <v>646</v>
      </c>
      <c r="J93" s="45">
        <v>600</v>
      </c>
      <c r="K93" s="45">
        <v>1571</v>
      </c>
      <c r="L93" s="45">
        <v>12941</v>
      </c>
      <c r="M93" s="45">
        <v>0</v>
      </c>
      <c r="N93" s="97">
        <v>0</v>
      </c>
      <c r="O93" s="45">
        <v>30556</v>
      </c>
      <c r="P93" s="97">
        <v>0</v>
      </c>
      <c r="Q93" s="45">
        <v>0</v>
      </c>
      <c r="R93" s="45">
        <v>6100</v>
      </c>
      <c r="S93" s="45">
        <v>1013</v>
      </c>
      <c r="T93" s="45">
        <v>0</v>
      </c>
      <c r="U93" s="45">
        <v>0</v>
      </c>
      <c r="V93" s="45">
        <v>126232</v>
      </c>
      <c r="W93" s="45">
        <v>97287</v>
      </c>
      <c r="X93" s="45">
        <v>28945</v>
      </c>
      <c r="Y93" s="62">
        <v>29.8</v>
      </c>
      <c r="Z93" s="62">
        <v>0</v>
      </c>
    </row>
    <row r="94" spans="2:26" ht="15" hidden="1">
      <c r="B94" s="41" t="s">
        <v>37</v>
      </c>
      <c r="C94" s="45">
        <v>1023</v>
      </c>
      <c r="D94" s="45">
        <v>273641</v>
      </c>
      <c r="E94" s="45">
        <v>0</v>
      </c>
      <c r="F94" s="45">
        <v>448274</v>
      </c>
      <c r="G94" s="45">
        <v>211200</v>
      </c>
      <c r="H94" s="45">
        <v>162551</v>
      </c>
      <c r="I94" s="45">
        <v>197763</v>
      </c>
      <c r="J94" s="45">
        <v>0</v>
      </c>
      <c r="K94" s="45">
        <v>2030</v>
      </c>
      <c r="L94" s="45">
        <v>1747752</v>
      </c>
      <c r="M94" s="45">
        <v>0</v>
      </c>
      <c r="N94" s="97">
        <v>0</v>
      </c>
      <c r="O94" s="45">
        <v>10491036</v>
      </c>
      <c r="P94" s="97">
        <v>0</v>
      </c>
      <c r="Q94" s="45">
        <v>104280</v>
      </c>
      <c r="R94" s="45">
        <v>299999</v>
      </c>
      <c r="S94" s="45">
        <v>0</v>
      </c>
      <c r="T94" s="45">
        <v>33080</v>
      </c>
      <c r="U94" s="45">
        <v>82852</v>
      </c>
      <c r="V94" s="45">
        <v>14055481</v>
      </c>
      <c r="W94" s="45">
        <v>11271418</v>
      </c>
      <c r="X94" s="45">
        <v>2784063</v>
      </c>
      <c r="Y94" s="62">
        <v>24.7</v>
      </c>
      <c r="Z94" s="62">
        <v>-5.5</v>
      </c>
    </row>
    <row r="95" spans="2:26" ht="15" hidden="1">
      <c r="B95" s="41" t="s">
        <v>38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2086669</v>
      </c>
      <c r="K95" s="45">
        <v>0</v>
      </c>
      <c r="L95" s="45">
        <v>0</v>
      </c>
      <c r="M95" s="45">
        <v>0</v>
      </c>
      <c r="N95" s="97">
        <v>0</v>
      </c>
      <c r="O95" s="45">
        <v>0</v>
      </c>
      <c r="P95" s="97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2086669</v>
      </c>
      <c r="W95" s="45">
        <v>1820000</v>
      </c>
      <c r="X95" s="45">
        <v>266669</v>
      </c>
      <c r="Y95" s="62">
        <v>14.7</v>
      </c>
      <c r="Z95" s="62">
        <v>3.8</v>
      </c>
    </row>
    <row r="96" spans="2:26" ht="15" hidden="1">
      <c r="B96" s="41" t="s">
        <v>39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198029</v>
      </c>
      <c r="J96" s="45">
        <v>0</v>
      </c>
      <c r="K96" s="45">
        <v>0</v>
      </c>
      <c r="L96" s="45">
        <v>0</v>
      </c>
      <c r="M96" s="45">
        <v>0</v>
      </c>
      <c r="N96" s="97">
        <v>0</v>
      </c>
      <c r="O96" s="45">
        <v>0</v>
      </c>
      <c r="P96" s="97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198029</v>
      </c>
      <c r="W96" s="45">
        <v>127930</v>
      </c>
      <c r="X96" s="45">
        <v>70099</v>
      </c>
      <c r="Y96" s="62">
        <v>54.8</v>
      </c>
      <c r="Z96" s="62">
        <v>11</v>
      </c>
    </row>
    <row r="97" spans="2:26" ht="15" hidden="1">
      <c r="B97" s="41" t="s">
        <v>40</v>
      </c>
      <c r="C97" s="45">
        <v>0</v>
      </c>
      <c r="D97" s="45">
        <v>0</v>
      </c>
      <c r="E97" s="45">
        <v>0</v>
      </c>
      <c r="F97" s="45">
        <v>345899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97">
        <v>0</v>
      </c>
      <c r="O97" s="45">
        <v>0</v>
      </c>
      <c r="P97" s="97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345899</v>
      </c>
      <c r="W97" s="45">
        <v>300000</v>
      </c>
      <c r="X97" s="45">
        <v>45899</v>
      </c>
      <c r="Y97" s="62">
        <v>15.3</v>
      </c>
      <c r="Z97" s="62">
        <v>0</v>
      </c>
    </row>
    <row r="98" spans="2:26" ht="15" hidden="1">
      <c r="B98" s="41" t="s">
        <v>41</v>
      </c>
      <c r="C98" s="45">
        <v>0</v>
      </c>
      <c r="D98" s="45">
        <v>0</v>
      </c>
      <c r="E98" s="45">
        <v>0</v>
      </c>
      <c r="F98" s="45">
        <v>25000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97">
        <v>0</v>
      </c>
      <c r="O98" s="45">
        <v>0</v>
      </c>
      <c r="P98" s="97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25000</v>
      </c>
      <c r="W98" s="45">
        <v>0</v>
      </c>
      <c r="X98" s="45">
        <v>25000</v>
      </c>
      <c r="Y98" s="62">
        <v>100</v>
      </c>
      <c r="Z98" s="62">
        <v>25.1</v>
      </c>
    </row>
    <row r="99" spans="2:26" ht="15" hidden="1">
      <c r="B99" s="41" t="s">
        <v>43</v>
      </c>
      <c r="C99" s="45">
        <v>0</v>
      </c>
      <c r="D99" s="45">
        <v>0</v>
      </c>
      <c r="E99" s="45">
        <v>0</v>
      </c>
      <c r="F99" s="45">
        <v>0</v>
      </c>
      <c r="G99" s="45">
        <v>1188199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97">
        <v>0</v>
      </c>
      <c r="O99" s="45">
        <v>0</v>
      </c>
      <c r="P99" s="97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1188199</v>
      </c>
      <c r="W99" s="45">
        <v>648200</v>
      </c>
      <c r="X99" s="45">
        <v>539999</v>
      </c>
      <c r="Y99" s="62">
        <v>83.3</v>
      </c>
      <c r="Z99" s="62">
        <v>0</v>
      </c>
    </row>
    <row r="100" spans="2:26" ht="15" hidden="1">
      <c r="B100" s="41" t="s">
        <v>44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97">
        <v>0</v>
      </c>
      <c r="O100" s="45">
        <v>0</v>
      </c>
      <c r="P100" s="97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8985742</v>
      </c>
      <c r="V100" s="45">
        <v>8985742</v>
      </c>
      <c r="W100" s="45">
        <v>5602076</v>
      </c>
      <c r="X100" s="45">
        <v>3383666</v>
      </c>
      <c r="Y100" s="62">
        <v>60.4</v>
      </c>
      <c r="Z100" s="62">
        <v>4.5</v>
      </c>
    </row>
    <row r="101" spans="2:26" ht="15" hidden="1">
      <c r="B101" s="41" t="s">
        <v>45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97">
        <v>0</v>
      </c>
      <c r="O101" s="45">
        <v>39827</v>
      </c>
      <c r="P101" s="97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39827</v>
      </c>
      <c r="W101" s="45">
        <v>26883</v>
      </c>
      <c r="X101" s="45">
        <v>12944</v>
      </c>
      <c r="Y101" s="62">
        <v>48.1</v>
      </c>
      <c r="Z101" s="62">
        <v>0</v>
      </c>
    </row>
    <row r="102" spans="2:26" ht="15" hidden="1">
      <c r="B102" s="41" t="s">
        <v>46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97">
        <v>0</v>
      </c>
      <c r="O102" s="45">
        <v>0</v>
      </c>
      <c r="P102" s="97">
        <v>0</v>
      </c>
      <c r="Q102" s="45">
        <v>6849342</v>
      </c>
      <c r="R102" s="45">
        <v>13526418</v>
      </c>
      <c r="S102" s="45">
        <v>0</v>
      </c>
      <c r="T102" s="45">
        <v>0</v>
      </c>
      <c r="U102" s="45">
        <v>55136</v>
      </c>
      <c r="V102" s="45">
        <v>20291716</v>
      </c>
      <c r="W102" s="45">
        <v>12115703</v>
      </c>
      <c r="X102" s="45">
        <v>8176013</v>
      </c>
      <c r="Y102" s="62">
        <v>67.5</v>
      </c>
      <c r="Z102" s="62">
        <v>37.8</v>
      </c>
    </row>
    <row r="103" spans="2:26" ht="15" hidden="1">
      <c r="B103" s="41" t="s">
        <v>49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97">
        <v>0</v>
      </c>
      <c r="O103" s="45">
        <v>0</v>
      </c>
      <c r="P103" s="97">
        <v>0</v>
      </c>
      <c r="Q103" s="45">
        <v>0</v>
      </c>
      <c r="R103" s="45">
        <v>127820</v>
      </c>
      <c r="S103" s="45">
        <v>0</v>
      </c>
      <c r="T103" s="45">
        <v>0</v>
      </c>
      <c r="U103" s="45">
        <v>0</v>
      </c>
      <c r="V103" s="45">
        <v>127820</v>
      </c>
      <c r="W103" s="45">
        <v>40900</v>
      </c>
      <c r="X103" s="45">
        <v>86920</v>
      </c>
      <c r="Y103" s="62">
        <v>212.5</v>
      </c>
      <c r="Z103" s="62">
        <v>4.9</v>
      </c>
    </row>
    <row r="104" spans="2:26" ht="15" hidden="1">
      <c r="B104" s="41" t="s">
        <v>54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97">
        <v>0</v>
      </c>
      <c r="O104" s="45">
        <v>49595</v>
      </c>
      <c r="P104" s="97">
        <v>0</v>
      </c>
      <c r="Q104" s="45">
        <v>0</v>
      </c>
      <c r="R104" s="45">
        <v>459556</v>
      </c>
      <c r="S104" s="45">
        <v>0</v>
      </c>
      <c r="T104" s="45">
        <v>0</v>
      </c>
      <c r="U104" s="45">
        <v>0</v>
      </c>
      <c r="V104" s="45">
        <v>509151</v>
      </c>
      <c r="W104" s="45">
        <v>37664</v>
      </c>
      <c r="X104" s="45">
        <v>471487</v>
      </c>
      <c r="Y104" s="62">
        <v>1251.8</v>
      </c>
      <c r="Z104" s="62">
        <v>16.9</v>
      </c>
    </row>
    <row r="105" spans="2:26" ht="15" hidden="1">
      <c r="B105" s="41" t="s">
        <v>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124978</v>
      </c>
      <c r="N105" s="97">
        <v>0</v>
      </c>
      <c r="O105" s="45">
        <v>55822</v>
      </c>
      <c r="P105" s="97">
        <v>0</v>
      </c>
      <c r="Q105" s="45">
        <v>0</v>
      </c>
      <c r="R105" s="45">
        <v>99850</v>
      </c>
      <c r="S105" s="45">
        <v>0</v>
      </c>
      <c r="T105" s="45">
        <v>0</v>
      </c>
      <c r="U105" s="45">
        <v>0</v>
      </c>
      <c r="V105" s="45">
        <v>280650</v>
      </c>
      <c r="W105" s="45">
        <v>309415</v>
      </c>
      <c r="X105" s="45">
        <v>-28765</v>
      </c>
      <c r="Y105" s="62">
        <v>-9.3</v>
      </c>
      <c r="Z105" s="62">
        <v>4.5</v>
      </c>
    </row>
    <row r="106" spans="2:26" ht="15" hidden="1">
      <c r="B106" s="41" t="s">
        <v>56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97">
        <v>0</v>
      </c>
      <c r="O106" s="45">
        <v>0</v>
      </c>
      <c r="P106" s="97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1774172</v>
      </c>
      <c r="V106" s="45">
        <v>1774172</v>
      </c>
      <c r="W106" s="45">
        <v>1389562</v>
      </c>
      <c r="X106" s="45">
        <v>384610</v>
      </c>
      <c r="Y106" s="62">
        <v>27.7</v>
      </c>
      <c r="Z106" s="62">
        <v>-7.4</v>
      </c>
    </row>
    <row r="107" spans="2:26" ht="15" hidden="1">
      <c r="B107" s="41" t="s">
        <v>57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100</v>
      </c>
      <c r="J107" s="45">
        <v>0</v>
      </c>
      <c r="K107" s="45">
        <v>0</v>
      </c>
      <c r="L107" s="45">
        <v>0</v>
      </c>
      <c r="M107" s="45">
        <v>0</v>
      </c>
      <c r="N107" s="97">
        <v>0</v>
      </c>
      <c r="O107" s="45">
        <v>10380854</v>
      </c>
      <c r="P107" s="97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10380954</v>
      </c>
      <c r="W107" s="45">
        <v>9710477</v>
      </c>
      <c r="X107" s="45">
        <v>670477</v>
      </c>
      <c r="Y107" s="62">
        <v>6.9</v>
      </c>
      <c r="Z107" s="62">
        <v>-4.1</v>
      </c>
    </row>
    <row r="108" spans="2:26" ht="15" hidden="1">
      <c r="B108" s="41" t="s">
        <v>58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97">
        <v>0</v>
      </c>
      <c r="O108" s="45">
        <v>0</v>
      </c>
      <c r="P108" s="97">
        <v>0</v>
      </c>
      <c r="Q108" s="45">
        <v>1364758</v>
      </c>
      <c r="R108" s="45">
        <v>0</v>
      </c>
      <c r="S108" s="45">
        <v>0</v>
      </c>
      <c r="T108" s="45">
        <v>0</v>
      </c>
      <c r="U108" s="45">
        <v>0</v>
      </c>
      <c r="V108" s="45">
        <v>1364758</v>
      </c>
      <c r="W108" s="45">
        <v>927703</v>
      </c>
      <c r="X108" s="45">
        <v>437055</v>
      </c>
      <c r="Y108" s="62">
        <v>47.1</v>
      </c>
      <c r="Z108" s="62">
        <v>3.7</v>
      </c>
    </row>
    <row r="109" spans="2:26" ht="15" hidden="1">
      <c r="B109" s="41" t="s">
        <v>59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157820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97">
        <v>0</v>
      </c>
      <c r="O109" s="45">
        <v>0</v>
      </c>
      <c r="P109" s="97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157820</v>
      </c>
      <c r="W109" s="45">
        <v>138856</v>
      </c>
      <c r="X109" s="45">
        <v>18964</v>
      </c>
      <c r="Y109" s="62">
        <v>13.7</v>
      </c>
      <c r="Z109" s="62">
        <v>10.7</v>
      </c>
    </row>
    <row r="110" spans="2:26" ht="15" hidden="1">
      <c r="B110" s="41" t="s">
        <v>61</v>
      </c>
      <c r="C110" s="45">
        <v>0</v>
      </c>
      <c r="D110" s="45">
        <v>0</v>
      </c>
      <c r="E110" s="45">
        <v>0</v>
      </c>
      <c r="F110" s="45">
        <v>1314</v>
      </c>
      <c r="G110" s="45">
        <v>0</v>
      </c>
      <c r="H110" s="45">
        <v>0</v>
      </c>
      <c r="I110" s="45">
        <v>384</v>
      </c>
      <c r="J110" s="45">
        <v>0</v>
      </c>
      <c r="K110" s="45">
        <v>5958</v>
      </c>
      <c r="L110" s="45">
        <v>1426601</v>
      </c>
      <c r="M110" s="45">
        <v>0</v>
      </c>
      <c r="N110" s="97">
        <v>0</v>
      </c>
      <c r="O110" s="45">
        <v>6060</v>
      </c>
      <c r="P110" s="97">
        <v>0</v>
      </c>
      <c r="Q110" s="45">
        <v>0</v>
      </c>
      <c r="R110" s="45">
        <v>8700</v>
      </c>
      <c r="S110" s="45">
        <v>0</v>
      </c>
      <c r="T110" s="45">
        <v>0</v>
      </c>
      <c r="U110" s="45">
        <v>0</v>
      </c>
      <c r="V110" s="45">
        <v>1449017</v>
      </c>
      <c r="W110" s="45">
        <v>532885</v>
      </c>
      <c r="X110" s="45">
        <v>916132</v>
      </c>
      <c r="Y110" s="62">
        <v>171.9</v>
      </c>
      <c r="Z110" s="62">
        <v>6.3</v>
      </c>
    </row>
    <row r="111" spans="2:26" ht="15" hidden="1">
      <c r="B111" s="41" t="s">
        <v>62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1019697</v>
      </c>
      <c r="M111" s="45">
        <v>0</v>
      </c>
      <c r="N111" s="97">
        <v>0</v>
      </c>
      <c r="O111" s="45">
        <v>0</v>
      </c>
      <c r="P111" s="97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1019697</v>
      </c>
      <c r="W111" s="45">
        <v>201737</v>
      </c>
      <c r="X111" s="45">
        <v>817960</v>
      </c>
      <c r="Y111" s="62">
        <v>405.5</v>
      </c>
      <c r="Z111" s="62">
        <v>4.3</v>
      </c>
    </row>
    <row r="112" spans="2:26" ht="15" hidden="1">
      <c r="B112" s="41" t="s">
        <v>63</v>
      </c>
      <c r="C112" s="45">
        <v>280</v>
      </c>
      <c r="D112" s="45">
        <v>15246</v>
      </c>
      <c r="E112" s="45">
        <v>0</v>
      </c>
      <c r="F112" s="45">
        <v>0</v>
      </c>
      <c r="G112" s="45">
        <v>0</v>
      </c>
      <c r="H112" s="45">
        <v>81057</v>
      </c>
      <c r="I112" s="45">
        <v>0</v>
      </c>
      <c r="J112" s="45">
        <v>0</v>
      </c>
      <c r="K112" s="45">
        <v>64988</v>
      </c>
      <c r="L112" s="45">
        <v>1003733</v>
      </c>
      <c r="M112" s="45">
        <v>0</v>
      </c>
      <c r="N112" s="97">
        <v>0</v>
      </c>
      <c r="O112" s="45">
        <v>0</v>
      </c>
      <c r="P112" s="97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7636</v>
      </c>
      <c r="V112" s="45">
        <v>1172940</v>
      </c>
      <c r="W112" s="45">
        <v>487453</v>
      </c>
      <c r="X112" s="45">
        <v>685487</v>
      </c>
      <c r="Y112" s="62">
        <v>140.6</v>
      </c>
      <c r="Z112" s="62">
        <v>4.5</v>
      </c>
    </row>
    <row r="113" spans="2:26" ht="15" hidden="1">
      <c r="B113" s="41" t="s">
        <v>64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1752</v>
      </c>
      <c r="M113" s="45">
        <v>0</v>
      </c>
      <c r="N113" s="97">
        <v>0</v>
      </c>
      <c r="O113" s="45">
        <v>0</v>
      </c>
      <c r="P113" s="97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1752</v>
      </c>
      <c r="W113" s="45">
        <v>1568</v>
      </c>
      <c r="X113" s="45">
        <v>184</v>
      </c>
      <c r="Y113" s="62">
        <v>11.7</v>
      </c>
      <c r="Z113" s="62">
        <v>4.9</v>
      </c>
    </row>
    <row r="114" spans="2:26" ht="15" hidden="1">
      <c r="B114" s="41" t="s">
        <v>65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1122</v>
      </c>
      <c r="L114" s="45">
        <v>8177</v>
      </c>
      <c r="M114" s="45">
        <v>0</v>
      </c>
      <c r="N114" s="97">
        <v>0</v>
      </c>
      <c r="O114" s="45">
        <v>0</v>
      </c>
      <c r="P114" s="97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9299</v>
      </c>
      <c r="W114" s="45">
        <v>8259</v>
      </c>
      <c r="X114" s="45">
        <v>1040</v>
      </c>
      <c r="Y114" s="62">
        <v>12.6</v>
      </c>
      <c r="Z114" s="62">
        <v>4.5</v>
      </c>
    </row>
    <row r="115" spans="2:26" ht="15" hidden="1">
      <c r="B115" s="41" t="s">
        <v>66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91960</v>
      </c>
      <c r="M115" s="45">
        <v>0</v>
      </c>
      <c r="N115" s="97">
        <v>0</v>
      </c>
      <c r="O115" s="45">
        <v>0</v>
      </c>
      <c r="P115" s="97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91960</v>
      </c>
      <c r="W115" s="45">
        <v>55936</v>
      </c>
      <c r="X115" s="45">
        <v>36024</v>
      </c>
      <c r="Y115" s="62">
        <v>64.4</v>
      </c>
      <c r="Z115" s="62">
        <v>3.9</v>
      </c>
    </row>
    <row r="116" spans="2:26" ht="15" hidden="1">
      <c r="B116" s="41" t="s">
        <v>67</v>
      </c>
      <c r="C116" s="45">
        <v>14776</v>
      </c>
      <c r="D116" s="45">
        <v>14760</v>
      </c>
      <c r="E116" s="45">
        <v>15430</v>
      </c>
      <c r="F116" s="45">
        <v>5743</v>
      </c>
      <c r="G116" s="45">
        <v>5835</v>
      </c>
      <c r="H116" s="45">
        <v>6371</v>
      </c>
      <c r="I116" s="45">
        <v>11381</v>
      </c>
      <c r="J116" s="45">
        <v>12869</v>
      </c>
      <c r="K116" s="45">
        <v>14670</v>
      </c>
      <c r="L116" s="45">
        <v>55010</v>
      </c>
      <c r="M116" s="45">
        <v>0</v>
      </c>
      <c r="N116" s="97">
        <v>0</v>
      </c>
      <c r="O116" s="45">
        <v>19916</v>
      </c>
      <c r="P116" s="97">
        <v>0</v>
      </c>
      <c r="Q116" s="45">
        <v>25853</v>
      </c>
      <c r="R116" s="45">
        <v>38050</v>
      </c>
      <c r="S116" s="45">
        <v>31579</v>
      </c>
      <c r="T116" s="45">
        <v>11711</v>
      </c>
      <c r="U116" s="45">
        <v>18449</v>
      </c>
      <c r="V116" s="45">
        <v>302403</v>
      </c>
      <c r="W116" s="45">
        <v>264981</v>
      </c>
      <c r="X116" s="45">
        <v>37422</v>
      </c>
      <c r="Y116" s="62">
        <v>14.1</v>
      </c>
      <c r="Z116" s="62">
        <v>4.7</v>
      </c>
    </row>
    <row r="117" spans="2:26" ht="15" hidden="1">
      <c r="B117" s="41" t="s">
        <v>68</v>
      </c>
      <c r="C117" s="45">
        <v>3418</v>
      </c>
      <c r="D117" s="45">
        <v>50093</v>
      </c>
      <c r="E117" s="45">
        <v>8500</v>
      </c>
      <c r="F117" s="45">
        <v>2921</v>
      </c>
      <c r="G117" s="45">
        <v>740</v>
      </c>
      <c r="H117" s="45">
        <v>8440</v>
      </c>
      <c r="I117" s="45">
        <v>5060</v>
      </c>
      <c r="J117" s="45">
        <v>77763</v>
      </c>
      <c r="K117" s="45">
        <v>87452</v>
      </c>
      <c r="L117" s="45">
        <v>28155</v>
      </c>
      <c r="M117" s="45">
        <v>1120</v>
      </c>
      <c r="N117" s="97">
        <v>0</v>
      </c>
      <c r="O117" s="45">
        <v>104469</v>
      </c>
      <c r="P117" s="97">
        <v>0</v>
      </c>
      <c r="Q117" s="45">
        <v>6062</v>
      </c>
      <c r="R117" s="45">
        <v>22915</v>
      </c>
      <c r="S117" s="45">
        <v>11278</v>
      </c>
      <c r="T117" s="45">
        <v>3855</v>
      </c>
      <c r="U117" s="45">
        <v>5424</v>
      </c>
      <c r="V117" s="45">
        <v>427665</v>
      </c>
      <c r="W117" s="45">
        <v>262985</v>
      </c>
      <c r="X117" s="45">
        <v>164680</v>
      </c>
      <c r="Y117" s="62">
        <v>62.6</v>
      </c>
      <c r="Z117" s="62">
        <v>19</v>
      </c>
    </row>
    <row r="118" spans="2:26" ht="15" hidden="1">
      <c r="B118" s="41" t="s">
        <v>69</v>
      </c>
      <c r="C118" s="45">
        <v>10505</v>
      </c>
      <c r="D118" s="45">
        <v>9187</v>
      </c>
      <c r="E118" s="45">
        <v>0</v>
      </c>
      <c r="F118" s="45">
        <v>5228</v>
      </c>
      <c r="G118" s="45">
        <v>2816</v>
      </c>
      <c r="H118" s="45">
        <v>87669</v>
      </c>
      <c r="I118" s="45">
        <v>12216</v>
      </c>
      <c r="J118" s="45">
        <v>3423</v>
      </c>
      <c r="K118" s="45">
        <v>25705</v>
      </c>
      <c r="L118" s="45">
        <v>2960</v>
      </c>
      <c r="M118" s="45">
        <v>0</v>
      </c>
      <c r="N118" s="97">
        <v>0</v>
      </c>
      <c r="O118" s="45">
        <v>67793</v>
      </c>
      <c r="P118" s="97">
        <v>0</v>
      </c>
      <c r="Q118" s="45">
        <v>118801</v>
      </c>
      <c r="R118" s="45">
        <v>67775</v>
      </c>
      <c r="S118" s="45">
        <v>3053</v>
      </c>
      <c r="T118" s="45">
        <v>6283</v>
      </c>
      <c r="U118" s="45">
        <v>33614</v>
      </c>
      <c r="V118" s="45">
        <v>457028</v>
      </c>
      <c r="W118" s="45">
        <v>406374</v>
      </c>
      <c r="X118" s="45">
        <v>50654</v>
      </c>
      <c r="Y118" s="62">
        <v>12.5</v>
      </c>
      <c r="Z118" s="62">
        <v>2.3</v>
      </c>
    </row>
    <row r="119" spans="2:26" ht="15" hidden="1">
      <c r="B119" s="41" t="s">
        <v>70</v>
      </c>
      <c r="C119" s="45">
        <v>644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801</v>
      </c>
      <c r="J119" s="45">
        <v>0</v>
      </c>
      <c r="K119" s="45">
        <v>3892</v>
      </c>
      <c r="L119" s="45">
        <v>0</v>
      </c>
      <c r="M119" s="45">
        <v>0</v>
      </c>
      <c r="N119" s="97">
        <v>0</v>
      </c>
      <c r="O119" s="45">
        <v>0</v>
      </c>
      <c r="P119" s="97">
        <v>0</v>
      </c>
      <c r="Q119" s="45">
        <v>0</v>
      </c>
      <c r="R119" s="45">
        <v>20490</v>
      </c>
      <c r="S119" s="45">
        <v>0</v>
      </c>
      <c r="T119" s="45">
        <v>600</v>
      </c>
      <c r="U119" s="45">
        <v>0</v>
      </c>
      <c r="V119" s="45">
        <v>26427</v>
      </c>
      <c r="W119" s="45">
        <v>32699</v>
      </c>
      <c r="X119" s="45">
        <v>-6272</v>
      </c>
      <c r="Y119" s="62">
        <v>-19.2</v>
      </c>
      <c r="Z119" s="62">
        <v>2.4</v>
      </c>
    </row>
    <row r="120" spans="2:26" ht="15" hidden="1">
      <c r="B120" s="41" t="s">
        <v>71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6594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97">
        <v>0</v>
      </c>
      <c r="O120" s="45">
        <v>12030780</v>
      </c>
      <c r="P120" s="97">
        <v>0</v>
      </c>
      <c r="Q120" s="45">
        <v>0</v>
      </c>
      <c r="R120" s="45">
        <v>133000</v>
      </c>
      <c r="S120" s="45">
        <v>0</v>
      </c>
      <c r="T120" s="45">
        <v>0</v>
      </c>
      <c r="U120" s="45">
        <v>0</v>
      </c>
      <c r="V120" s="45">
        <v>12170374</v>
      </c>
      <c r="W120" s="45">
        <v>11917843</v>
      </c>
      <c r="X120" s="45">
        <v>252531</v>
      </c>
      <c r="Y120" s="62">
        <v>2.1</v>
      </c>
      <c r="Z120" s="62">
        <v>-9</v>
      </c>
    </row>
    <row r="121" spans="2:26" ht="15" hidden="1">
      <c r="B121" s="41" t="s">
        <v>72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97">
        <v>0</v>
      </c>
      <c r="O121" s="45">
        <v>0</v>
      </c>
      <c r="P121" s="97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6182</v>
      </c>
      <c r="V121" s="45">
        <v>6182</v>
      </c>
      <c r="W121" s="45">
        <v>5730</v>
      </c>
      <c r="X121" s="45">
        <v>452</v>
      </c>
      <c r="Y121" s="62">
        <v>7.9</v>
      </c>
      <c r="Z121" s="62">
        <v>101.9</v>
      </c>
    </row>
    <row r="122" spans="2:26" ht="15" hidden="1">
      <c r="B122" s="41" t="s">
        <v>73</v>
      </c>
      <c r="C122" s="45">
        <v>8335</v>
      </c>
      <c r="D122" s="45">
        <v>876</v>
      </c>
      <c r="E122" s="45">
        <v>2842</v>
      </c>
      <c r="F122" s="45">
        <v>680</v>
      </c>
      <c r="G122" s="45">
        <v>2489</v>
      </c>
      <c r="H122" s="45">
        <v>5065</v>
      </c>
      <c r="I122" s="45">
        <v>2828</v>
      </c>
      <c r="J122" s="45">
        <v>42129</v>
      </c>
      <c r="K122" s="45">
        <v>4524</v>
      </c>
      <c r="L122" s="45">
        <v>6967</v>
      </c>
      <c r="M122" s="45">
        <v>61091</v>
      </c>
      <c r="N122" s="97">
        <v>0</v>
      </c>
      <c r="O122" s="45">
        <v>181065</v>
      </c>
      <c r="P122" s="97">
        <v>0</v>
      </c>
      <c r="Q122" s="45">
        <v>191839</v>
      </c>
      <c r="R122" s="45">
        <v>21100</v>
      </c>
      <c r="S122" s="45">
        <v>1011</v>
      </c>
      <c r="T122" s="45">
        <v>1790</v>
      </c>
      <c r="U122" s="45">
        <v>14394</v>
      </c>
      <c r="V122" s="45">
        <v>549025</v>
      </c>
      <c r="W122" s="45">
        <v>528919</v>
      </c>
      <c r="X122" s="45">
        <v>20106</v>
      </c>
      <c r="Y122" s="62">
        <v>3.8</v>
      </c>
      <c r="Z122" s="62">
        <v>-47.9</v>
      </c>
    </row>
    <row r="123" spans="2:26" ht="15" hidden="1">
      <c r="B123" s="41" t="s">
        <v>74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2798</v>
      </c>
      <c r="M123" s="45">
        <v>0</v>
      </c>
      <c r="N123" s="97">
        <v>0</v>
      </c>
      <c r="O123" s="45">
        <v>0</v>
      </c>
      <c r="P123" s="97">
        <v>0</v>
      </c>
      <c r="Q123" s="45">
        <v>79121</v>
      </c>
      <c r="R123" s="45">
        <v>3937862</v>
      </c>
      <c r="S123" s="45">
        <v>0</v>
      </c>
      <c r="T123" s="45">
        <v>0</v>
      </c>
      <c r="U123" s="45">
        <v>99216</v>
      </c>
      <c r="V123" s="45">
        <v>4118997</v>
      </c>
      <c r="W123" s="45">
        <v>3063969</v>
      </c>
      <c r="X123" s="45">
        <v>1055028</v>
      </c>
      <c r="Y123" s="62">
        <v>34.4</v>
      </c>
      <c r="Z123" s="62">
        <v>-1.3</v>
      </c>
    </row>
    <row r="124" spans="2:26" ht="15" hidden="1">
      <c r="B124" s="41" t="s">
        <v>75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97">
        <v>0</v>
      </c>
      <c r="O124" s="45">
        <v>0</v>
      </c>
      <c r="P124" s="97">
        <v>0</v>
      </c>
      <c r="Q124" s="45">
        <v>0</v>
      </c>
      <c r="R124" s="45">
        <v>1057250</v>
      </c>
      <c r="S124" s="45">
        <v>0</v>
      </c>
      <c r="T124" s="45">
        <v>0</v>
      </c>
      <c r="U124" s="45">
        <v>0</v>
      </c>
      <c r="V124" s="45">
        <v>1057250</v>
      </c>
      <c r="W124" s="45">
        <v>1085400</v>
      </c>
      <c r="X124" s="45">
        <v>-28150</v>
      </c>
      <c r="Y124" s="62">
        <v>-2.6</v>
      </c>
      <c r="Z124" s="62">
        <v>22</v>
      </c>
    </row>
    <row r="125" spans="2:26" ht="15" hidden="1">
      <c r="B125" s="41" t="s">
        <v>76</v>
      </c>
      <c r="C125" s="45">
        <v>537</v>
      </c>
      <c r="D125" s="45">
        <v>274</v>
      </c>
      <c r="E125" s="45">
        <v>1099</v>
      </c>
      <c r="F125" s="45">
        <v>443</v>
      </c>
      <c r="G125" s="45">
        <v>192</v>
      </c>
      <c r="H125" s="45">
        <v>752</v>
      </c>
      <c r="I125" s="45">
        <v>19</v>
      </c>
      <c r="J125" s="45">
        <v>537</v>
      </c>
      <c r="K125" s="45">
        <v>140</v>
      </c>
      <c r="L125" s="45">
        <v>332</v>
      </c>
      <c r="M125" s="45">
        <v>0</v>
      </c>
      <c r="N125" s="97">
        <v>0</v>
      </c>
      <c r="O125" s="45">
        <v>1144</v>
      </c>
      <c r="P125" s="97">
        <v>0</v>
      </c>
      <c r="Q125" s="45">
        <v>0</v>
      </c>
      <c r="R125" s="45">
        <v>300</v>
      </c>
      <c r="S125" s="45">
        <v>215</v>
      </c>
      <c r="T125" s="45">
        <v>456</v>
      </c>
      <c r="U125" s="45">
        <v>171</v>
      </c>
      <c r="V125" s="45">
        <v>6611</v>
      </c>
      <c r="W125" s="45">
        <v>5954</v>
      </c>
      <c r="X125" s="45">
        <v>657</v>
      </c>
      <c r="Y125" s="62">
        <v>11</v>
      </c>
      <c r="Z125" s="62">
        <v>-0.1</v>
      </c>
    </row>
    <row r="126" spans="2:26" ht="15" hidden="1">
      <c r="B126" s="41" t="s">
        <v>78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97">
        <v>0</v>
      </c>
      <c r="O126" s="45">
        <v>0</v>
      </c>
      <c r="P126" s="97">
        <v>0</v>
      </c>
      <c r="Q126" s="45">
        <v>0</v>
      </c>
      <c r="R126" s="45">
        <v>992000</v>
      </c>
      <c r="S126" s="45">
        <v>0</v>
      </c>
      <c r="T126" s="45">
        <v>0</v>
      </c>
      <c r="U126" s="45">
        <v>0</v>
      </c>
      <c r="V126" s="45">
        <v>992000</v>
      </c>
      <c r="W126" s="45">
        <v>1162505</v>
      </c>
      <c r="X126" s="45">
        <v>-170505</v>
      </c>
      <c r="Y126" s="62">
        <v>-14.7</v>
      </c>
      <c r="Z126" s="62">
        <v>-1.4</v>
      </c>
    </row>
    <row r="127" spans="2:26" ht="15" hidden="1">
      <c r="B127" s="41" t="s">
        <v>79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97">
        <v>0</v>
      </c>
      <c r="O127" s="45">
        <v>0</v>
      </c>
      <c r="P127" s="97">
        <v>0</v>
      </c>
      <c r="Q127" s="45">
        <v>0</v>
      </c>
      <c r="R127" s="45">
        <v>722590</v>
      </c>
      <c r="S127" s="45">
        <v>0</v>
      </c>
      <c r="T127" s="45">
        <v>0</v>
      </c>
      <c r="U127" s="45">
        <v>0</v>
      </c>
      <c r="V127" s="45">
        <v>722590</v>
      </c>
      <c r="W127" s="45">
        <v>600000</v>
      </c>
      <c r="X127" s="45">
        <v>122590</v>
      </c>
      <c r="Y127" s="62">
        <v>20.4</v>
      </c>
      <c r="Z127" s="62">
        <v>-1.1</v>
      </c>
    </row>
    <row r="128" spans="2:26" ht="15" hidden="1">
      <c r="B128" s="41" t="s">
        <v>80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97">
        <v>0</v>
      </c>
      <c r="O128" s="45">
        <v>0</v>
      </c>
      <c r="P128" s="97">
        <v>0</v>
      </c>
      <c r="Q128" s="45">
        <v>0</v>
      </c>
      <c r="R128" s="45">
        <v>70600</v>
      </c>
      <c r="S128" s="45">
        <v>0</v>
      </c>
      <c r="T128" s="45">
        <v>0</v>
      </c>
      <c r="U128" s="45">
        <v>0</v>
      </c>
      <c r="V128" s="45">
        <v>70600</v>
      </c>
      <c r="W128" s="45">
        <v>70600</v>
      </c>
      <c r="X128" s="45">
        <v>0</v>
      </c>
      <c r="Y128" s="62">
        <v>0</v>
      </c>
      <c r="Z128" s="62">
        <v>1.2</v>
      </c>
    </row>
    <row r="129" spans="2:26" ht="15" hidden="1">
      <c r="B129" s="41" t="s">
        <v>81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97">
        <v>0</v>
      </c>
      <c r="O129" s="45">
        <v>0</v>
      </c>
      <c r="P129" s="97">
        <v>0</v>
      </c>
      <c r="Q129" s="45">
        <v>0</v>
      </c>
      <c r="R129" s="45">
        <v>2464256</v>
      </c>
      <c r="S129" s="45">
        <v>0</v>
      </c>
      <c r="T129" s="45">
        <v>0</v>
      </c>
      <c r="U129" s="45">
        <v>0</v>
      </c>
      <c r="V129" s="45">
        <v>2464256</v>
      </c>
      <c r="W129" s="45">
        <v>2200000</v>
      </c>
      <c r="X129" s="45">
        <v>264256</v>
      </c>
      <c r="Y129" s="62">
        <v>12</v>
      </c>
      <c r="Z129" s="62">
        <v>0</v>
      </c>
    </row>
    <row r="130" spans="2:26" ht="15" hidden="1">
      <c r="B130" s="41" t="s">
        <v>82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1600</v>
      </c>
      <c r="J130" s="45">
        <v>0</v>
      </c>
      <c r="K130" s="45">
        <v>0</v>
      </c>
      <c r="L130" s="45">
        <v>0</v>
      </c>
      <c r="M130" s="45">
        <v>0</v>
      </c>
      <c r="N130" s="97">
        <v>0</v>
      </c>
      <c r="O130" s="45">
        <v>0</v>
      </c>
      <c r="P130" s="97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1600</v>
      </c>
      <c r="W130" s="45">
        <v>1430</v>
      </c>
      <c r="X130" s="45">
        <v>170</v>
      </c>
      <c r="Y130" s="62">
        <v>11.9</v>
      </c>
      <c r="Z130" s="62">
        <v>4.8</v>
      </c>
    </row>
    <row r="131" spans="2:26" ht="15" hidden="1">
      <c r="B131" s="41" t="s">
        <v>83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97">
        <v>0</v>
      </c>
      <c r="O131" s="45">
        <v>10261333</v>
      </c>
      <c r="P131" s="97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10261333</v>
      </c>
      <c r="W131" s="45">
        <v>9400237</v>
      </c>
      <c r="X131" s="45">
        <v>861096</v>
      </c>
      <c r="Y131" s="62">
        <v>9.2</v>
      </c>
      <c r="Z131" s="62">
        <v>-57.7</v>
      </c>
    </row>
    <row r="132" spans="2:26" ht="15" hidden="1">
      <c r="B132" s="41" t="s">
        <v>84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97">
        <v>0</v>
      </c>
      <c r="O132" s="45">
        <v>0</v>
      </c>
      <c r="P132" s="97">
        <v>0</v>
      </c>
      <c r="Q132" s="45">
        <v>0</v>
      </c>
      <c r="R132" s="45">
        <v>151525</v>
      </c>
      <c r="S132" s="45">
        <v>0</v>
      </c>
      <c r="T132" s="45">
        <v>0</v>
      </c>
      <c r="U132" s="45">
        <v>0</v>
      </c>
      <c r="V132" s="45">
        <v>151525</v>
      </c>
      <c r="W132" s="45">
        <v>160509</v>
      </c>
      <c r="X132" s="45">
        <v>-8984</v>
      </c>
      <c r="Y132" s="62">
        <v>-5.6</v>
      </c>
      <c r="Z132" s="62">
        <v>5.4</v>
      </c>
    </row>
    <row r="133" spans="2:26" ht="15" hidden="1">
      <c r="B133" s="41" t="s">
        <v>88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97">
        <v>0</v>
      </c>
      <c r="O133" s="45">
        <v>0</v>
      </c>
      <c r="P133" s="97">
        <v>0</v>
      </c>
      <c r="Q133" s="45">
        <v>7195086</v>
      </c>
      <c r="R133" s="45">
        <v>0</v>
      </c>
      <c r="S133" s="45">
        <v>0</v>
      </c>
      <c r="T133" s="45">
        <v>0</v>
      </c>
      <c r="U133" s="45">
        <v>0</v>
      </c>
      <c r="V133" s="45">
        <v>7195086</v>
      </c>
      <c r="W133" s="45">
        <v>5481608</v>
      </c>
      <c r="X133" s="45">
        <v>1713478</v>
      </c>
      <c r="Y133" s="62">
        <v>31.3</v>
      </c>
      <c r="Z133" s="62">
        <v>-25.9</v>
      </c>
    </row>
    <row r="134" spans="2:26" ht="15" hidden="1">
      <c r="B134" s="41" t="s">
        <v>89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1979</v>
      </c>
      <c r="M134" s="45">
        <v>0</v>
      </c>
      <c r="N134" s="97">
        <v>0</v>
      </c>
      <c r="O134" s="45">
        <v>28257</v>
      </c>
      <c r="P134" s="97">
        <v>0</v>
      </c>
      <c r="Q134" s="45">
        <v>0</v>
      </c>
      <c r="R134" s="45">
        <v>189600</v>
      </c>
      <c r="S134" s="45">
        <v>0</v>
      </c>
      <c r="T134" s="45">
        <v>0</v>
      </c>
      <c r="U134" s="45">
        <v>87054</v>
      </c>
      <c r="V134" s="45">
        <v>306890</v>
      </c>
      <c r="W134" s="45">
        <v>268553</v>
      </c>
      <c r="X134" s="45">
        <v>38337</v>
      </c>
      <c r="Y134" s="62">
        <v>14.3</v>
      </c>
      <c r="Z134" s="62">
        <v>9.9</v>
      </c>
    </row>
    <row r="135" spans="2:26" ht="15" hidden="1">
      <c r="B135" s="41" t="s">
        <v>93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97">
        <v>0</v>
      </c>
      <c r="O135" s="45">
        <v>781355</v>
      </c>
      <c r="P135" s="97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781355</v>
      </c>
      <c r="W135" s="45">
        <v>902968</v>
      </c>
      <c r="X135" s="45">
        <v>-121613</v>
      </c>
      <c r="Y135" s="62">
        <v>-13.5</v>
      </c>
      <c r="Z135" s="62">
        <v>-1.4</v>
      </c>
    </row>
    <row r="136" spans="2:26" ht="15" hidden="1">
      <c r="B136" s="41" t="s">
        <v>94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97">
        <v>0</v>
      </c>
      <c r="O136" s="45">
        <v>19939979</v>
      </c>
      <c r="P136" s="97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19939979</v>
      </c>
      <c r="W136" s="45">
        <v>17257181</v>
      </c>
      <c r="X136" s="45">
        <v>2682798</v>
      </c>
      <c r="Y136" s="62">
        <v>15.5</v>
      </c>
      <c r="Z136" s="62">
        <v>7.7</v>
      </c>
    </row>
    <row r="137" spans="2:26" ht="15.75" hidden="1" thickBot="1"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98"/>
      <c r="O137" s="51"/>
      <c r="P137" s="98"/>
      <c r="Q137" s="51"/>
      <c r="R137" s="51"/>
      <c r="S137" s="51"/>
      <c r="T137" s="51"/>
      <c r="U137" s="51"/>
      <c r="V137" s="51"/>
      <c r="W137" s="51"/>
      <c r="X137" s="51"/>
      <c r="Y137" s="63"/>
      <c r="Z137" s="62">
        <v>17.4</v>
      </c>
    </row>
    <row r="138" spans="2:26" ht="15.75" hidden="1" thickBot="1">
      <c r="B138" s="53" t="s">
        <v>105</v>
      </c>
      <c r="C138" s="54">
        <v>1601822</v>
      </c>
      <c r="D138" s="54">
        <v>739081</v>
      </c>
      <c r="E138" s="54">
        <v>183630</v>
      </c>
      <c r="F138" s="54">
        <v>1228919</v>
      </c>
      <c r="G138" s="54">
        <v>1966098</v>
      </c>
      <c r="H138" s="54">
        <v>1640270</v>
      </c>
      <c r="I138" s="54">
        <v>1188395</v>
      </c>
      <c r="J138" s="54">
        <v>3118721</v>
      </c>
      <c r="K138" s="54">
        <v>1796217</v>
      </c>
      <c r="L138" s="54">
        <v>6991386</v>
      </c>
      <c r="M138" s="54">
        <v>9959079</v>
      </c>
      <c r="N138" s="99">
        <v>0</v>
      </c>
      <c r="O138" s="54">
        <v>76591901</v>
      </c>
      <c r="P138" s="99">
        <v>0</v>
      </c>
      <c r="Q138" s="54">
        <v>23210398</v>
      </c>
      <c r="R138" s="54">
        <v>34545284</v>
      </c>
      <c r="S138" s="54">
        <v>905029</v>
      </c>
      <c r="T138" s="54">
        <v>2669147</v>
      </c>
      <c r="U138" s="54">
        <v>17414623</v>
      </c>
      <c r="V138" s="54">
        <v>185750000</v>
      </c>
      <c r="W138" s="54">
        <v>155100000</v>
      </c>
      <c r="X138" s="54">
        <v>30650000</v>
      </c>
      <c r="Y138" s="64">
        <v>19.8</v>
      </c>
      <c r="Z138" s="63"/>
    </row>
    <row r="139" ht="15.75" hidden="1" thickTop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</sheetData>
  <sheetProtection/>
  <mergeCells count="1">
    <mergeCell ref="B9:V9"/>
  </mergeCells>
  <printOptions/>
  <pageMargins left="0.7" right="0.7" top="0.75" bottom="0.75" header="0.3" footer="0.3"/>
  <pageSetup orientation="portrait" scale="76" r:id="rId2"/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225"/>
  <sheetViews>
    <sheetView showGridLines="0"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48" sqref="C48"/>
    </sheetView>
  </sheetViews>
  <sheetFormatPr defaultColWidth="9.140625" defaultRowHeight="15" outlineLevelRow="1" outlineLevelCol="1"/>
  <cols>
    <col min="1" max="1" width="37.140625" style="3" bestFit="1" customWidth="1"/>
    <col min="2" max="2" width="14.00390625" style="3" customWidth="1" outlineLevel="1"/>
    <col min="3" max="3" width="14.8515625" style="3" customWidth="1" outlineLevel="1"/>
    <col min="4" max="4" width="13.57421875" style="3" customWidth="1" outlineLevel="1"/>
    <col min="5" max="5" width="12.00390625" style="3" customWidth="1" outlineLevel="1"/>
    <col min="6" max="6" width="12.28125" style="3" customWidth="1" outlineLevel="1"/>
    <col min="7" max="7" width="15.421875" style="3" customWidth="1" outlineLevel="1"/>
    <col min="8" max="8" width="11.00390625" style="3" customWidth="1" outlineLevel="1"/>
    <col min="9" max="9" width="11.28125" style="3" customWidth="1" outlineLevel="1"/>
    <col min="10" max="10" width="13.421875" style="3" customWidth="1" outlineLevel="1" collapsed="1"/>
    <col min="11" max="11" width="11.28125" style="3" customWidth="1" outlineLevel="1"/>
    <col min="12" max="12" width="12.140625" style="3" customWidth="1" outlineLevel="1"/>
    <col min="13" max="13" width="12.421875" style="3" customWidth="1" outlineLevel="1"/>
    <col min="14" max="14" width="13.28125" style="3" customWidth="1" outlineLevel="1"/>
    <col min="15" max="15" width="12.57421875" style="3" customWidth="1" outlineLevel="1"/>
    <col min="16" max="16" width="13.8515625" style="3" customWidth="1" outlineLevel="1"/>
    <col min="17" max="17" width="13.28125" style="3" customWidth="1"/>
    <col min="18" max="18" width="12.8515625" style="3" customWidth="1"/>
    <col min="19" max="19" width="13.28125" style="3" bestFit="1" customWidth="1"/>
    <col min="20" max="21" width="14.8515625" style="3" bestFit="1" customWidth="1"/>
    <col min="22" max="22" width="14.00390625" style="3" bestFit="1" customWidth="1"/>
    <col min="23" max="23" width="10.7109375" style="3" bestFit="1" customWidth="1"/>
    <col min="24" max="24" width="9.140625" style="28" customWidth="1"/>
    <col min="25" max="16384" width="9.140625" style="3" customWidth="1"/>
  </cols>
  <sheetData>
    <row r="1" s="28" customFormat="1" ht="12.75"/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2"/>
    </row>
    <row r="7" spans="1:23" ht="12.75" hidden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2"/>
    </row>
    <row r="8" spans="1:23" ht="12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4"/>
      <c r="V8" s="4"/>
      <c r="W8" s="2"/>
    </row>
    <row r="9" spans="1:23" ht="30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4"/>
      <c r="U9" s="4"/>
      <c r="V9" s="4"/>
      <c r="W9" s="2"/>
    </row>
    <row r="10" spans="1:24" s="10" customFormat="1" ht="38.25" customHeight="1">
      <c r="A10" s="8" t="s">
        <v>0</v>
      </c>
      <c r="B10" s="9" t="s">
        <v>108</v>
      </c>
      <c r="C10" s="9" t="s">
        <v>1</v>
      </c>
      <c r="D10" s="9" t="s">
        <v>2</v>
      </c>
      <c r="E10" s="9" t="s">
        <v>124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109</v>
      </c>
      <c r="N10" s="9" t="s">
        <v>15</v>
      </c>
      <c r="O10" s="9" t="s">
        <v>16</v>
      </c>
      <c r="P10" s="9" t="s">
        <v>17</v>
      </c>
      <c r="Q10" s="9" t="s">
        <v>18</v>
      </c>
      <c r="R10" s="9" t="s">
        <v>19</v>
      </c>
      <c r="S10" s="9" t="s">
        <v>111</v>
      </c>
      <c r="T10" s="9" t="s">
        <v>107</v>
      </c>
      <c r="U10" s="9" t="s">
        <v>22</v>
      </c>
      <c r="V10" s="9" t="s">
        <v>23</v>
      </c>
      <c r="X10" s="128"/>
    </row>
    <row r="11" spans="1:23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2"/>
    </row>
    <row r="12" spans="1:23" ht="12" customHeight="1">
      <c r="A12" s="13" t="s">
        <v>24</v>
      </c>
      <c r="B12" s="14">
        <f aca="true" t="shared" si="0" ref="B12:Q27">SUMIF($A$97:$A$222,$A$12:$A$90,B$97:B$222)</f>
        <v>1711422</v>
      </c>
      <c r="C12" s="14">
        <f t="shared" si="0"/>
        <v>418117</v>
      </c>
      <c r="D12" s="14">
        <f t="shared" si="0"/>
        <v>86384</v>
      </c>
      <c r="E12" s="14">
        <f t="shared" si="0"/>
        <v>407589</v>
      </c>
      <c r="F12" s="14">
        <f t="shared" si="0"/>
        <v>596120</v>
      </c>
      <c r="G12" s="14">
        <f t="shared" si="0"/>
        <v>1113465</v>
      </c>
      <c r="H12" s="14">
        <f t="shared" si="0"/>
        <v>822969</v>
      </c>
      <c r="I12" s="14">
        <f t="shared" si="0"/>
        <v>781654</v>
      </c>
      <c r="J12" s="18">
        <f t="shared" si="0"/>
        <v>1418736</v>
      </c>
      <c r="K12" s="14">
        <f t="shared" si="0"/>
        <v>1643701</v>
      </c>
      <c r="L12" s="14">
        <f t="shared" si="0"/>
        <v>0</v>
      </c>
      <c r="M12" s="14">
        <f t="shared" si="0"/>
        <v>12727790</v>
      </c>
      <c r="N12" s="14">
        <f t="shared" si="0"/>
        <v>7673721</v>
      </c>
      <c r="O12" s="14">
        <f t="shared" si="0"/>
        <v>8659984</v>
      </c>
      <c r="P12" s="14">
        <f t="shared" si="0"/>
        <v>882884</v>
      </c>
      <c r="Q12" s="14">
        <f t="shared" si="0"/>
        <v>2334961</v>
      </c>
      <c r="R12" s="14">
        <f aca="true" t="shared" si="1" ref="L12:R27">SUMIF($A$97:$A$222,$A$12:$A$90,R$97:R$222)</f>
        <v>5642139</v>
      </c>
      <c r="S12" s="14">
        <f aca="true" t="shared" si="2" ref="S12:S75">SUM(B12:R12)</f>
        <v>46921636</v>
      </c>
      <c r="T12" s="14">
        <v>40365582</v>
      </c>
      <c r="U12" s="14">
        <f>S12-T12</f>
        <v>6556054</v>
      </c>
      <c r="V12" s="16">
        <f>IF(T12=0,100%,U12/T12)</f>
        <v>0.16241693232615845</v>
      </c>
      <c r="W12" s="2"/>
    </row>
    <row r="13" spans="1:23" ht="12" customHeight="1" hidden="1">
      <c r="A13" s="13" t="s">
        <v>25</v>
      </c>
      <c r="B13" s="18">
        <f t="shared" si="0"/>
        <v>0</v>
      </c>
      <c r="C13" s="18">
        <f t="shared" si="0"/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>
        <f t="shared" si="1"/>
        <v>0</v>
      </c>
      <c r="S13" s="18">
        <f t="shared" si="2"/>
        <v>0</v>
      </c>
      <c r="T13" s="18">
        <v>0</v>
      </c>
      <c r="U13" s="19">
        <f aca="true" t="shared" si="3" ref="U13:U77">S13-T13</f>
        <v>0</v>
      </c>
      <c r="V13" s="16">
        <f aca="true" t="shared" si="4" ref="V13:V77">IF(T13=0,100%,U13/T13)</f>
        <v>1</v>
      </c>
      <c r="W13" s="2"/>
    </row>
    <row r="14" spans="1:23" ht="12" customHeight="1">
      <c r="A14" s="13" t="s">
        <v>26</v>
      </c>
      <c r="B14" s="18">
        <f t="shared" si="0"/>
        <v>0</v>
      </c>
      <c r="C14" s="18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46176</v>
      </c>
      <c r="H14" s="18">
        <f t="shared" si="0"/>
        <v>0</v>
      </c>
      <c r="I14" s="18">
        <f t="shared" si="0"/>
        <v>128584</v>
      </c>
      <c r="J14" s="18">
        <f t="shared" si="0"/>
        <v>0</v>
      </c>
      <c r="K14" s="18">
        <f t="shared" si="0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2"/>
        <v>174760</v>
      </c>
      <c r="T14" s="18">
        <v>179568</v>
      </c>
      <c r="U14" s="19">
        <f t="shared" si="3"/>
        <v>-4808</v>
      </c>
      <c r="V14" s="16">
        <f t="shared" si="4"/>
        <v>-0.02677537200392052</v>
      </c>
      <c r="W14" s="2"/>
    </row>
    <row r="15" spans="1:23" ht="12" customHeight="1">
      <c r="A15" s="13" t="s">
        <v>27</v>
      </c>
      <c r="B15" s="18">
        <f t="shared" si="0"/>
        <v>620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2396</v>
      </c>
      <c r="H15" s="18">
        <f t="shared" si="0"/>
        <v>0</v>
      </c>
      <c r="I15" s="18">
        <f t="shared" si="0"/>
        <v>0</v>
      </c>
      <c r="J15" s="18">
        <f t="shared" si="0"/>
        <v>1947</v>
      </c>
      <c r="K15" s="18">
        <f t="shared" si="0"/>
        <v>1730</v>
      </c>
      <c r="L15" s="18">
        <f t="shared" si="1"/>
        <v>0</v>
      </c>
      <c r="M15" s="18">
        <f t="shared" si="1"/>
        <v>424557</v>
      </c>
      <c r="N15" s="18">
        <f t="shared" si="1"/>
        <v>102650</v>
      </c>
      <c r="O15" s="18">
        <f t="shared" si="1"/>
        <v>340000</v>
      </c>
      <c r="P15" s="18">
        <f t="shared" si="1"/>
        <v>0</v>
      </c>
      <c r="Q15" s="18">
        <f t="shared" si="1"/>
        <v>0</v>
      </c>
      <c r="R15" s="18">
        <f t="shared" si="1"/>
        <v>23028</v>
      </c>
      <c r="S15" s="18">
        <f t="shared" si="2"/>
        <v>896928</v>
      </c>
      <c r="T15" s="18">
        <v>797021</v>
      </c>
      <c r="U15" s="19">
        <f t="shared" si="3"/>
        <v>99907</v>
      </c>
      <c r="V15" s="16">
        <f t="shared" si="4"/>
        <v>0.12535052401379637</v>
      </c>
      <c r="W15" s="2"/>
    </row>
    <row r="16" spans="1:23" ht="12" customHeight="1">
      <c r="A16" s="13" t="s">
        <v>28</v>
      </c>
      <c r="B16" s="18">
        <f t="shared" si="0"/>
        <v>0</v>
      </c>
      <c r="C16" s="18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1"/>
        <v>10171587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>
        <f t="shared" si="1"/>
        <v>0</v>
      </c>
      <c r="S16" s="18">
        <f t="shared" si="2"/>
        <v>10171587</v>
      </c>
      <c r="T16" s="18">
        <v>9081415</v>
      </c>
      <c r="U16" s="19">
        <f t="shared" si="3"/>
        <v>1090172</v>
      </c>
      <c r="V16" s="16">
        <f t="shared" si="4"/>
        <v>0.12004428825243643</v>
      </c>
      <c r="W16" s="2"/>
    </row>
    <row r="17" spans="1:23" ht="12" customHeight="1">
      <c r="A17" s="13" t="s">
        <v>29</v>
      </c>
      <c r="B17" s="18">
        <f t="shared" si="0"/>
        <v>225555</v>
      </c>
      <c r="C17" s="18">
        <f t="shared" si="0"/>
        <v>45940</v>
      </c>
      <c r="D17" s="18">
        <f t="shared" si="0"/>
        <v>11446</v>
      </c>
      <c r="E17" s="18">
        <f t="shared" si="0"/>
        <v>54005</v>
      </c>
      <c r="F17" s="18">
        <f t="shared" si="0"/>
        <v>79781</v>
      </c>
      <c r="G17" s="18">
        <f t="shared" si="0"/>
        <v>142154</v>
      </c>
      <c r="H17" s="18">
        <f t="shared" si="0"/>
        <v>109043</v>
      </c>
      <c r="I17" s="18">
        <f t="shared" si="0"/>
        <v>102433</v>
      </c>
      <c r="J17" s="18">
        <f t="shared" si="0"/>
        <v>187982</v>
      </c>
      <c r="K17" s="18">
        <f t="shared" si="0"/>
        <v>217234</v>
      </c>
      <c r="L17" s="18">
        <f t="shared" si="1"/>
        <v>0</v>
      </c>
      <c r="M17" s="18">
        <f t="shared" si="1"/>
        <v>1686411</v>
      </c>
      <c r="N17" s="18">
        <f t="shared" si="1"/>
        <v>1017244</v>
      </c>
      <c r="O17" s="18">
        <f t="shared" si="1"/>
        <v>1144743</v>
      </c>
      <c r="P17" s="18">
        <f t="shared" si="1"/>
        <v>115774</v>
      </c>
      <c r="Q17" s="18">
        <f t="shared" si="1"/>
        <v>306361</v>
      </c>
      <c r="R17" s="18">
        <f t="shared" si="1"/>
        <v>748100</v>
      </c>
      <c r="S17" s="18">
        <f t="shared" si="2"/>
        <v>6194206</v>
      </c>
      <c r="T17" s="18">
        <v>5312241</v>
      </c>
      <c r="U17" s="19">
        <f t="shared" si="3"/>
        <v>881965</v>
      </c>
      <c r="V17" s="16">
        <f t="shared" si="4"/>
        <v>0.16602503538525454</v>
      </c>
      <c r="W17" s="2"/>
    </row>
    <row r="18" spans="1:23" ht="12" customHeight="1">
      <c r="A18" s="13" t="s">
        <v>30</v>
      </c>
      <c r="B18" s="18">
        <f t="shared" si="0"/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6119</v>
      </c>
      <c r="H18" s="18">
        <f t="shared" si="0"/>
        <v>0</v>
      </c>
      <c r="I18" s="18">
        <f t="shared" si="0"/>
        <v>16966</v>
      </c>
      <c r="J18" s="18">
        <f t="shared" si="0"/>
        <v>0</v>
      </c>
      <c r="K18" s="18">
        <f t="shared" si="0"/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>
        <f t="shared" si="1"/>
        <v>0</v>
      </c>
      <c r="S18" s="18">
        <f t="shared" si="2"/>
        <v>23085</v>
      </c>
      <c r="T18" s="18">
        <v>23408</v>
      </c>
      <c r="U18" s="19">
        <f t="shared" si="3"/>
        <v>-323</v>
      </c>
      <c r="V18" s="16">
        <f t="shared" si="4"/>
        <v>-0.013798701298701298</v>
      </c>
      <c r="W18" s="2"/>
    </row>
    <row r="19" spans="1:23" ht="12" customHeight="1" hidden="1">
      <c r="A19" s="13" t="s">
        <v>31</v>
      </c>
      <c r="B19" s="18">
        <f t="shared" si="0"/>
        <v>0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2"/>
        <v>0</v>
      </c>
      <c r="T19" s="18">
        <v>0</v>
      </c>
      <c r="U19" s="19">
        <f t="shared" si="3"/>
        <v>0</v>
      </c>
      <c r="V19" s="16">
        <f t="shared" si="4"/>
        <v>1</v>
      </c>
      <c r="W19" s="2"/>
    </row>
    <row r="20" spans="1:23" ht="12" customHeight="1">
      <c r="A20" s="13" t="s">
        <v>32</v>
      </c>
      <c r="B20" s="18">
        <f t="shared" si="0"/>
        <v>0</v>
      </c>
      <c r="C20" s="18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31575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2"/>
        <v>31575</v>
      </c>
      <c r="T20" s="18">
        <v>27913</v>
      </c>
      <c r="U20" s="19">
        <f t="shared" si="3"/>
        <v>3662</v>
      </c>
      <c r="V20" s="16">
        <f t="shared" si="4"/>
        <v>0.13119335076845914</v>
      </c>
      <c r="W20" s="2"/>
    </row>
    <row r="21" spans="1:23" ht="12" customHeight="1">
      <c r="A21" s="13" t="s">
        <v>33</v>
      </c>
      <c r="B21" s="18">
        <f t="shared" si="0"/>
        <v>0</v>
      </c>
      <c r="C21" s="18">
        <f t="shared" si="0"/>
        <v>0</v>
      </c>
      <c r="D21" s="18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>
        <f t="shared" si="0"/>
        <v>0</v>
      </c>
      <c r="K21" s="18">
        <f t="shared" si="0"/>
        <v>0</v>
      </c>
      <c r="L21" s="18">
        <f t="shared" si="1"/>
        <v>227386</v>
      </c>
      <c r="M21" s="18">
        <f t="shared" si="1"/>
        <v>0</v>
      </c>
      <c r="N21" s="18">
        <f t="shared" si="1"/>
        <v>0</v>
      </c>
      <c r="O21" s="18">
        <f t="shared" si="1"/>
        <v>0</v>
      </c>
      <c r="P21" s="18">
        <f t="shared" si="1"/>
        <v>0</v>
      </c>
      <c r="Q21" s="18">
        <f t="shared" si="1"/>
        <v>0</v>
      </c>
      <c r="R21" s="18">
        <f t="shared" si="1"/>
        <v>0</v>
      </c>
      <c r="S21" s="18">
        <f t="shared" si="2"/>
        <v>227386</v>
      </c>
      <c r="T21" s="18">
        <v>200000</v>
      </c>
      <c r="U21" s="19">
        <f t="shared" si="3"/>
        <v>27386</v>
      </c>
      <c r="V21" s="16">
        <f t="shared" si="4"/>
        <v>0.13693</v>
      </c>
      <c r="W21" s="2"/>
    </row>
    <row r="22" spans="1:23" ht="12" customHeight="1">
      <c r="A22" s="13" t="s">
        <v>34</v>
      </c>
      <c r="B22" s="18">
        <f t="shared" si="0"/>
        <v>0</v>
      </c>
      <c r="C22" s="18">
        <f t="shared" si="0"/>
        <v>0</v>
      </c>
      <c r="D22" s="18">
        <f t="shared" si="0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0</v>
      </c>
      <c r="L22" s="18">
        <f t="shared" si="1"/>
        <v>0</v>
      </c>
      <c r="M22" s="18">
        <f t="shared" si="1"/>
        <v>0</v>
      </c>
      <c r="N22" s="18">
        <f t="shared" si="1"/>
        <v>0</v>
      </c>
      <c r="O22" s="18">
        <f t="shared" si="1"/>
        <v>0</v>
      </c>
      <c r="P22" s="18">
        <f t="shared" si="1"/>
        <v>0</v>
      </c>
      <c r="Q22" s="18">
        <f t="shared" si="1"/>
        <v>0</v>
      </c>
      <c r="R22" s="18">
        <f t="shared" si="1"/>
        <v>0</v>
      </c>
      <c r="S22" s="18">
        <f t="shared" si="2"/>
        <v>0</v>
      </c>
      <c r="T22" s="18">
        <v>1920000</v>
      </c>
      <c r="U22" s="19">
        <f t="shared" si="3"/>
        <v>-1920000</v>
      </c>
      <c r="V22" s="16">
        <f t="shared" si="4"/>
        <v>-1</v>
      </c>
      <c r="W22" s="2"/>
    </row>
    <row r="23" spans="1:23" ht="12" customHeight="1">
      <c r="A23" s="13" t="s">
        <v>35</v>
      </c>
      <c r="B23" s="18">
        <f t="shared" si="0"/>
        <v>0</v>
      </c>
      <c r="C23" s="18">
        <f t="shared" si="0"/>
        <v>0</v>
      </c>
      <c r="D23" s="18">
        <f t="shared" si="0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0</v>
      </c>
      <c r="K23" s="18">
        <f t="shared" si="0"/>
        <v>0</v>
      </c>
      <c r="L23" s="18">
        <f t="shared" si="1"/>
        <v>382573</v>
      </c>
      <c r="M23" s="18">
        <f t="shared" si="1"/>
        <v>0</v>
      </c>
      <c r="N23" s="18">
        <f t="shared" si="1"/>
        <v>0</v>
      </c>
      <c r="O23" s="18">
        <f t="shared" si="1"/>
        <v>0</v>
      </c>
      <c r="P23" s="18">
        <f t="shared" si="1"/>
        <v>0</v>
      </c>
      <c r="Q23" s="18">
        <f t="shared" si="1"/>
        <v>0</v>
      </c>
      <c r="R23" s="18">
        <f t="shared" si="1"/>
        <v>0</v>
      </c>
      <c r="S23" s="18">
        <f t="shared" si="2"/>
        <v>382573</v>
      </c>
      <c r="T23" s="18">
        <v>331395</v>
      </c>
      <c r="U23" s="19">
        <f t="shared" si="3"/>
        <v>51178</v>
      </c>
      <c r="V23" s="16">
        <f t="shared" si="4"/>
        <v>0.15443202220914617</v>
      </c>
      <c r="W23" s="2"/>
    </row>
    <row r="24" spans="1:23" ht="12" customHeight="1">
      <c r="A24" s="13" t="s">
        <v>36</v>
      </c>
      <c r="B24" s="18">
        <f t="shared" si="0"/>
        <v>2308</v>
      </c>
      <c r="C24" s="18">
        <f t="shared" si="0"/>
        <v>2382</v>
      </c>
      <c r="D24" s="18">
        <f t="shared" si="0"/>
        <v>59697</v>
      </c>
      <c r="E24" s="18">
        <f t="shared" si="0"/>
        <v>0</v>
      </c>
      <c r="F24" s="18">
        <f t="shared" si="0"/>
        <v>0</v>
      </c>
      <c r="G24" s="18">
        <f t="shared" si="0"/>
        <v>8418</v>
      </c>
      <c r="H24" s="18">
        <f t="shared" si="0"/>
        <v>646</v>
      </c>
      <c r="I24" s="18">
        <f t="shared" si="0"/>
        <v>600</v>
      </c>
      <c r="J24" s="18">
        <f t="shared" si="0"/>
        <v>1571</v>
      </c>
      <c r="K24" s="18">
        <f t="shared" si="0"/>
        <v>12941</v>
      </c>
      <c r="L24" s="18">
        <f t="shared" si="1"/>
        <v>0</v>
      </c>
      <c r="M24" s="18">
        <f t="shared" si="1"/>
        <v>30556</v>
      </c>
      <c r="N24" s="18">
        <f t="shared" si="1"/>
        <v>0</v>
      </c>
      <c r="O24" s="18">
        <f t="shared" si="1"/>
        <v>6100</v>
      </c>
      <c r="P24" s="18">
        <f t="shared" si="1"/>
        <v>1013</v>
      </c>
      <c r="Q24" s="18">
        <f t="shared" si="1"/>
        <v>0</v>
      </c>
      <c r="R24" s="18">
        <f t="shared" si="1"/>
        <v>0</v>
      </c>
      <c r="S24" s="18">
        <f t="shared" si="2"/>
        <v>126232</v>
      </c>
      <c r="T24" s="18">
        <v>97287</v>
      </c>
      <c r="U24" s="19">
        <f t="shared" si="3"/>
        <v>28945</v>
      </c>
      <c r="V24" s="16">
        <f t="shared" si="4"/>
        <v>0.29752176549795967</v>
      </c>
      <c r="W24" s="2"/>
    </row>
    <row r="25" spans="1:23" ht="12" customHeight="1">
      <c r="A25" s="13" t="s">
        <v>37</v>
      </c>
      <c r="B25" s="18">
        <f t="shared" si="0"/>
        <v>1023</v>
      </c>
      <c r="C25" s="18">
        <f t="shared" si="0"/>
        <v>273641</v>
      </c>
      <c r="D25" s="18">
        <f t="shared" si="0"/>
        <v>0</v>
      </c>
      <c r="E25" s="18">
        <f t="shared" si="0"/>
        <v>516174</v>
      </c>
      <c r="F25" s="18">
        <f t="shared" si="0"/>
        <v>211200</v>
      </c>
      <c r="G25" s="18">
        <f t="shared" si="0"/>
        <v>162551</v>
      </c>
      <c r="H25" s="18">
        <f t="shared" si="0"/>
        <v>197763</v>
      </c>
      <c r="I25" s="18">
        <f t="shared" si="0"/>
        <v>0</v>
      </c>
      <c r="J25" s="18">
        <f t="shared" si="0"/>
        <v>2030</v>
      </c>
      <c r="K25" s="18">
        <f t="shared" si="0"/>
        <v>1747752</v>
      </c>
      <c r="L25" s="18">
        <f t="shared" si="1"/>
        <v>0</v>
      </c>
      <c r="M25" s="18">
        <f t="shared" si="1"/>
        <v>12251135</v>
      </c>
      <c r="N25" s="18">
        <f t="shared" si="1"/>
        <v>1804280</v>
      </c>
      <c r="O25" s="18">
        <f t="shared" si="1"/>
        <v>487499</v>
      </c>
      <c r="P25" s="18">
        <f t="shared" si="1"/>
        <v>50000</v>
      </c>
      <c r="Q25" s="18">
        <f t="shared" si="1"/>
        <v>33080</v>
      </c>
      <c r="R25" s="18">
        <f t="shared" si="1"/>
        <v>82852</v>
      </c>
      <c r="S25" s="18">
        <f t="shared" si="2"/>
        <v>17820980</v>
      </c>
      <c r="T25" s="18">
        <v>16029250</v>
      </c>
      <c r="U25" s="19">
        <f t="shared" si="3"/>
        <v>1791730</v>
      </c>
      <c r="V25" s="16">
        <f t="shared" si="4"/>
        <v>0.11177877941887487</v>
      </c>
      <c r="W25" s="2"/>
    </row>
    <row r="26" spans="1:23" ht="12" customHeight="1">
      <c r="A26" s="13" t="s">
        <v>38</v>
      </c>
      <c r="B26" s="18">
        <f t="shared" si="0"/>
        <v>0</v>
      </c>
      <c r="C26" s="18">
        <f t="shared" si="0"/>
        <v>0</v>
      </c>
      <c r="D26" s="18">
        <f t="shared" si="0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  <c r="I26" s="18">
        <f t="shared" si="0"/>
        <v>4368669</v>
      </c>
      <c r="J26" s="18">
        <f t="shared" si="0"/>
        <v>0</v>
      </c>
      <c r="K26" s="18">
        <f t="shared" si="0"/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>
        <f t="shared" si="1"/>
        <v>0</v>
      </c>
      <c r="S26" s="18">
        <f t="shared" si="2"/>
        <v>4368669</v>
      </c>
      <c r="T26" s="18">
        <v>4120000</v>
      </c>
      <c r="U26" s="19">
        <f t="shared" si="3"/>
        <v>248669</v>
      </c>
      <c r="V26" s="16">
        <f t="shared" si="4"/>
        <v>0.06035655339805825</v>
      </c>
      <c r="W26" s="2"/>
    </row>
    <row r="27" spans="1:23" ht="12" customHeight="1">
      <c r="A27" s="13" t="s">
        <v>39</v>
      </c>
      <c r="B27" s="18">
        <f t="shared" si="0"/>
        <v>0</v>
      </c>
      <c r="C27" s="18">
        <f t="shared" si="0"/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384699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1"/>
        <v>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8">
        <f t="shared" si="1"/>
        <v>0</v>
      </c>
      <c r="R27" s="18">
        <f t="shared" si="1"/>
        <v>0</v>
      </c>
      <c r="S27" s="18">
        <f t="shared" si="2"/>
        <v>384699</v>
      </c>
      <c r="T27" s="18">
        <v>262600</v>
      </c>
      <c r="U27" s="19">
        <f t="shared" si="3"/>
        <v>122099</v>
      </c>
      <c r="V27" s="16">
        <f t="shared" si="4"/>
        <v>0.46496191926884994</v>
      </c>
      <c r="W27" s="2"/>
    </row>
    <row r="28" spans="1:23" ht="12" customHeight="1">
      <c r="A28" s="13" t="s">
        <v>40</v>
      </c>
      <c r="B28" s="18">
        <f aca="true" t="shared" si="5" ref="B28:Q43">SUMIF($A$97:$A$222,$A$12:$A$90,B$97:B$222)</f>
        <v>0</v>
      </c>
      <c r="C28" s="18">
        <f t="shared" si="5"/>
        <v>0</v>
      </c>
      <c r="D28" s="18">
        <f t="shared" si="5"/>
        <v>0</v>
      </c>
      <c r="E28" s="18">
        <f t="shared" si="5"/>
        <v>535399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Q28" s="18">
        <f t="shared" si="5"/>
        <v>0</v>
      </c>
      <c r="R28" s="18">
        <f aca="true" t="shared" si="6" ref="L28:R43">SUMIF($A$97:$A$222,$A$12:$A$90,R$97:R$222)</f>
        <v>0</v>
      </c>
      <c r="S28" s="18">
        <f t="shared" si="2"/>
        <v>535399</v>
      </c>
      <c r="T28" s="18">
        <v>483500</v>
      </c>
      <c r="U28" s="19">
        <f t="shared" si="3"/>
        <v>51899</v>
      </c>
      <c r="V28" s="16">
        <f t="shared" si="4"/>
        <v>0.10734022750775594</v>
      </c>
      <c r="W28" s="2"/>
    </row>
    <row r="29" spans="1:23" ht="12" customHeight="1">
      <c r="A29" s="13" t="s">
        <v>41</v>
      </c>
      <c r="B29" s="18">
        <f t="shared" si="5"/>
        <v>0</v>
      </c>
      <c r="C29" s="18">
        <f t="shared" si="5"/>
        <v>0</v>
      </c>
      <c r="D29" s="18">
        <f t="shared" si="5"/>
        <v>0</v>
      </c>
      <c r="E29" s="18">
        <f t="shared" si="5"/>
        <v>116000</v>
      </c>
      <c r="F29" s="18">
        <f t="shared" si="5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6"/>
        <v>0</v>
      </c>
      <c r="M29" s="18">
        <f t="shared" si="6"/>
        <v>0</v>
      </c>
      <c r="N29" s="18">
        <f t="shared" si="6"/>
        <v>0</v>
      </c>
      <c r="O29" s="18">
        <f t="shared" si="6"/>
        <v>0</v>
      </c>
      <c r="P29" s="18">
        <f t="shared" si="6"/>
        <v>0</v>
      </c>
      <c r="Q29" s="18">
        <f t="shared" si="6"/>
        <v>0</v>
      </c>
      <c r="R29" s="18">
        <f t="shared" si="6"/>
        <v>0</v>
      </c>
      <c r="S29" s="18">
        <f t="shared" si="2"/>
        <v>116000</v>
      </c>
      <c r="T29" s="18">
        <v>100000</v>
      </c>
      <c r="U29" s="19">
        <f t="shared" si="3"/>
        <v>16000</v>
      </c>
      <c r="V29" s="16">
        <f t="shared" si="4"/>
        <v>0.16</v>
      </c>
      <c r="W29" s="2"/>
    </row>
    <row r="30" spans="1:23" ht="12" customHeight="1">
      <c r="A30" s="13" t="s">
        <v>42</v>
      </c>
      <c r="B30" s="18">
        <f t="shared" si="5"/>
        <v>0</v>
      </c>
      <c r="C30" s="18">
        <f t="shared" si="5"/>
        <v>0</v>
      </c>
      <c r="D30" s="18">
        <f t="shared" si="5"/>
        <v>0</v>
      </c>
      <c r="E30" s="18">
        <f t="shared" si="5"/>
        <v>2180167</v>
      </c>
      <c r="F30" s="18">
        <f t="shared" si="5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6"/>
        <v>0</v>
      </c>
      <c r="M30" s="18">
        <f t="shared" si="6"/>
        <v>0</v>
      </c>
      <c r="N30" s="18">
        <f t="shared" si="6"/>
        <v>0</v>
      </c>
      <c r="O30" s="18">
        <f t="shared" si="6"/>
        <v>0</v>
      </c>
      <c r="P30" s="18">
        <f t="shared" si="6"/>
        <v>0</v>
      </c>
      <c r="Q30" s="18">
        <f t="shared" si="6"/>
        <v>0</v>
      </c>
      <c r="R30" s="18">
        <f t="shared" si="6"/>
        <v>0</v>
      </c>
      <c r="S30" s="18">
        <f t="shared" si="2"/>
        <v>2180167</v>
      </c>
      <c r="T30" s="18">
        <v>3500000</v>
      </c>
      <c r="U30" s="19">
        <f t="shared" si="3"/>
        <v>-1319833</v>
      </c>
      <c r="V30" s="16">
        <f t="shared" si="4"/>
        <v>-0.37709514285714285</v>
      </c>
      <c r="W30" s="2"/>
    </row>
    <row r="31" spans="1:23" ht="12" customHeight="1">
      <c r="A31" s="13" t="s">
        <v>43</v>
      </c>
      <c r="B31" s="18">
        <f t="shared" si="5"/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1488199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6"/>
        <v>0</v>
      </c>
      <c r="M31" s="18">
        <f t="shared" si="6"/>
        <v>0</v>
      </c>
      <c r="N31" s="18">
        <f t="shared" si="6"/>
        <v>0</v>
      </c>
      <c r="O31" s="18">
        <f t="shared" si="6"/>
        <v>0</v>
      </c>
      <c r="P31" s="18">
        <f t="shared" si="6"/>
        <v>0</v>
      </c>
      <c r="Q31" s="18">
        <f t="shared" si="6"/>
        <v>0</v>
      </c>
      <c r="R31" s="18">
        <f t="shared" si="6"/>
        <v>850000</v>
      </c>
      <c r="S31" s="18">
        <f t="shared" si="2"/>
        <v>2338199</v>
      </c>
      <c r="T31" s="18">
        <v>1398200</v>
      </c>
      <c r="U31" s="19">
        <f t="shared" si="3"/>
        <v>939999</v>
      </c>
      <c r="V31" s="16">
        <f t="shared" si="4"/>
        <v>0.672292232870834</v>
      </c>
      <c r="W31" s="2"/>
    </row>
    <row r="32" spans="1:23" ht="12" customHeight="1">
      <c r="A32" s="13" t="s">
        <v>44</v>
      </c>
      <c r="B32" s="18">
        <f t="shared" si="5"/>
        <v>0</v>
      </c>
      <c r="C32" s="18">
        <f t="shared" si="5"/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O32" s="18">
        <f t="shared" si="6"/>
        <v>0</v>
      </c>
      <c r="P32" s="18">
        <f t="shared" si="6"/>
        <v>0</v>
      </c>
      <c r="Q32" s="18">
        <f t="shared" si="6"/>
        <v>0</v>
      </c>
      <c r="R32" s="18">
        <f t="shared" si="6"/>
        <v>9818605</v>
      </c>
      <c r="S32" s="18">
        <f t="shared" si="2"/>
        <v>9818605</v>
      </c>
      <c r="T32" s="18">
        <v>5602076</v>
      </c>
      <c r="U32" s="19">
        <f t="shared" si="3"/>
        <v>4216529</v>
      </c>
      <c r="V32" s="16">
        <f t="shared" si="4"/>
        <v>0.7526725806647393</v>
      </c>
      <c r="W32" s="2"/>
    </row>
    <row r="33" spans="1:23" ht="12" customHeight="1">
      <c r="A33" s="13" t="s">
        <v>45</v>
      </c>
      <c r="B33" s="18">
        <f t="shared" si="5"/>
        <v>0</v>
      </c>
      <c r="C33" s="18">
        <f t="shared" si="5"/>
        <v>0</v>
      </c>
      <c r="D33" s="18">
        <f t="shared" si="5"/>
        <v>0</v>
      </c>
      <c r="E33" s="18">
        <f t="shared" si="5"/>
        <v>0</v>
      </c>
      <c r="F33" s="18">
        <f t="shared" si="5"/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8">
        <f t="shared" si="5"/>
        <v>0</v>
      </c>
      <c r="L33" s="18">
        <f t="shared" si="6"/>
        <v>0</v>
      </c>
      <c r="M33" s="18">
        <f t="shared" si="6"/>
        <v>39827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Q33" s="18">
        <f t="shared" si="6"/>
        <v>0</v>
      </c>
      <c r="R33" s="18">
        <f t="shared" si="6"/>
        <v>0</v>
      </c>
      <c r="S33" s="18">
        <f t="shared" si="2"/>
        <v>39827</v>
      </c>
      <c r="T33" s="18">
        <v>26883</v>
      </c>
      <c r="U33" s="19">
        <f t="shared" si="3"/>
        <v>12944</v>
      </c>
      <c r="V33" s="16">
        <f t="shared" si="4"/>
        <v>0.4814938808912696</v>
      </c>
      <c r="W33" s="2"/>
    </row>
    <row r="34" spans="1:23" ht="12" customHeight="1">
      <c r="A34" s="13" t="s">
        <v>46</v>
      </c>
      <c r="B34" s="18">
        <f t="shared" si="5"/>
        <v>0</v>
      </c>
      <c r="C34" s="18">
        <f t="shared" si="5"/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6"/>
        <v>0</v>
      </c>
      <c r="M34" s="18">
        <f t="shared" si="6"/>
        <v>0</v>
      </c>
      <c r="N34" s="18">
        <f t="shared" si="6"/>
        <v>6909931</v>
      </c>
      <c r="O34" s="18">
        <f t="shared" si="6"/>
        <v>16310793</v>
      </c>
      <c r="P34" s="18">
        <f t="shared" si="6"/>
        <v>0</v>
      </c>
      <c r="Q34" s="18">
        <f t="shared" si="6"/>
        <v>0</v>
      </c>
      <c r="R34" s="18">
        <f t="shared" si="6"/>
        <v>55136</v>
      </c>
      <c r="S34" s="18">
        <f t="shared" si="2"/>
        <v>23275860</v>
      </c>
      <c r="T34" s="18">
        <v>12115703</v>
      </c>
      <c r="U34" s="19">
        <f t="shared" si="3"/>
        <v>11160157</v>
      </c>
      <c r="V34" s="16">
        <f t="shared" si="4"/>
        <v>0.9211316091191737</v>
      </c>
      <c r="W34" s="2"/>
    </row>
    <row r="35" spans="1:23" ht="12" customHeight="1">
      <c r="A35" s="13" t="s">
        <v>47</v>
      </c>
      <c r="B35" s="18">
        <f t="shared" si="5"/>
        <v>0</v>
      </c>
      <c r="C35" s="18">
        <f t="shared" si="5"/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6"/>
        <v>0</v>
      </c>
      <c r="M35" s="18">
        <f t="shared" si="6"/>
        <v>0</v>
      </c>
      <c r="N35" s="18">
        <f t="shared" si="6"/>
        <v>0</v>
      </c>
      <c r="O35" s="18">
        <f t="shared" si="6"/>
        <v>0</v>
      </c>
      <c r="P35" s="18">
        <f t="shared" si="6"/>
        <v>0</v>
      </c>
      <c r="Q35" s="18">
        <f t="shared" si="6"/>
        <v>3467810</v>
      </c>
      <c r="R35" s="18">
        <f t="shared" si="6"/>
        <v>0</v>
      </c>
      <c r="S35" s="18">
        <f t="shared" si="2"/>
        <v>3467810</v>
      </c>
      <c r="T35" s="18">
        <v>2252200</v>
      </c>
      <c r="U35" s="19">
        <f t="shared" si="3"/>
        <v>1215610</v>
      </c>
      <c r="V35" s="16">
        <f t="shared" si="4"/>
        <v>0.5397433620459995</v>
      </c>
      <c r="W35" s="2"/>
    </row>
    <row r="36" spans="1:23" ht="12" customHeight="1">
      <c r="A36" s="13" t="s">
        <v>48</v>
      </c>
      <c r="B36" s="18">
        <f t="shared" si="5"/>
        <v>0</v>
      </c>
      <c r="C36" s="18">
        <f t="shared" si="5"/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6"/>
        <v>0</v>
      </c>
      <c r="M36" s="18">
        <f t="shared" si="6"/>
        <v>0</v>
      </c>
      <c r="N36" s="18">
        <f t="shared" si="6"/>
        <v>18719866</v>
      </c>
      <c r="O36" s="18">
        <f t="shared" si="6"/>
        <v>0</v>
      </c>
      <c r="P36" s="18">
        <f t="shared" si="6"/>
        <v>0</v>
      </c>
      <c r="Q36" s="18">
        <f t="shared" si="6"/>
        <v>1046400</v>
      </c>
      <c r="R36" s="18">
        <f t="shared" si="6"/>
        <v>0</v>
      </c>
      <c r="S36" s="18">
        <f t="shared" si="2"/>
        <v>19766266</v>
      </c>
      <c r="T36" s="18">
        <v>9828006</v>
      </c>
      <c r="U36" s="19">
        <f t="shared" si="3"/>
        <v>9938260</v>
      </c>
      <c r="V36" s="16">
        <f t="shared" si="4"/>
        <v>1.011218348869547</v>
      </c>
      <c r="W36" s="2"/>
    </row>
    <row r="37" spans="1:23" ht="12" customHeight="1">
      <c r="A37" s="13" t="s">
        <v>49</v>
      </c>
      <c r="B37" s="18">
        <f t="shared" si="5"/>
        <v>0</v>
      </c>
      <c r="C37" s="18">
        <f t="shared" si="5"/>
        <v>0</v>
      </c>
      <c r="D37" s="18">
        <f t="shared" si="5"/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427820</v>
      </c>
      <c r="P37" s="18">
        <f t="shared" si="6"/>
        <v>0</v>
      </c>
      <c r="Q37" s="18">
        <f t="shared" si="6"/>
        <v>0</v>
      </c>
      <c r="R37" s="18">
        <f t="shared" si="6"/>
        <v>0</v>
      </c>
      <c r="S37" s="18">
        <f t="shared" si="2"/>
        <v>427820</v>
      </c>
      <c r="T37" s="18">
        <v>230900</v>
      </c>
      <c r="U37" s="19">
        <f t="shared" si="3"/>
        <v>196920</v>
      </c>
      <c r="V37" s="16">
        <f t="shared" si="4"/>
        <v>0.8528367258553486</v>
      </c>
      <c r="W37" s="2"/>
    </row>
    <row r="38" spans="1:23" ht="12" customHeight="1">
      <c r="A38" s="13" t="s">
        <v>50</v>
      </c>
      <c r="B38" s="18">
        <f t="shared" si="5"/>
        <v>0</v>
      </c>
      <c r="C38" s="18">
        <f t="shared" si="5"/>
        <v>0</v>
      </c>
      <c r="D38" s="18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0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18">
        <f t="shared" si="6"/>
        <v>0</v>
      </c>
      <c r="Q38" s="18">
        <f t="shared" si="6"/>
        <v>2331000</v>
      </c>
      <c r="R38" s="18">
        <f t="shared" si="6"/>
        <v>0</v>
      </c>
      <c r="S38" s="18">
        <f t="shared" si="2"/>
        <v>2331000</v>
      </c>
      <c r="T38" s="18">
        <v>2907000</v>
      </c>
      <c r="U38" s="19">
        <f t="shared" si="3"/>
        <v>-576000</v>
      </c>
      <c r="V38" s="16">
        <f t="shared" si="4"/>
        <v>-0.19814241486068113</v>
      </c>
      <c r="W38" s="2"/>
    </row>
    <row r="39" spans="1:23" ht="12" customHeight="1">
      <c r="A39" s="13" t="s">
        <v>51</v>
      </c>
      <c r="B39" s="18">
        <f t="shared" si="5"/>
        <v>0</v>
      </c>
      <c r="C39" s="18">
        <f t="shared" si="5"/>
        <v>0</v>
      </c>
      <c r="D39" s="18">
        <f t="shared" si="5"/>
        <v>0</v>
      </c>
      <c r="E39" s="18">
        <f t="shared" si="5"/>
        <v>0</v>
      </c>
      <c r="F39" s="18">
        <f t="shared" si="5"/>
        <v>0</v>
      </c>
      <c r="G39" s="18">
        <f t="shared" si="5"/>
        <v>0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6"/>
        <v>0</v>
      </c>
      <c r="M39" s="18">
        <f t="shared" si="6"/>
        <v>0</v>
      </c>
      <c r="N39" s="18">
        <f t="shared" si="6"/>
        <v>0</v>
      </c>
      <c r="O39" s="18">
        <f t="shared" si="6"/>
        <v>0</v>
      </c>
      <c r="P39" s="18">
        <f t="shared" si="6"/>
        <v>0</v>
      </c>
      <c r="Q39" s="18">
        <f t="shared" si="6"/>
        <v>970000</v>
      </c>
      <c r="R39" s="18">
        <f t="shared" si="6"/>
        <v>0</v>
      </c>
      <c r="S39" s="18">
        <f t="shared" si="2"/>
        <v>970000</v>
      </c>
      <c r="T39" s="18">
        <v>2921754</v>
      </c>
      <c r="U39" s="19">
        <f t="shared" si="3"/>
        <v>-1951754</v>
      </c>
      <c r="V39" s="16">
        <f t="shared" si="4"/>
        <v>-0.6680076419849172</v>
      </c>
      <c r="W39" s="2"/>
    </row>
    <row r="40" spans="1:23" ht="12" customHeight="1">
      <c r="A40" s="13" t="s">
        <v>52</v>
      </c>
      <c r="B40" s="18">
        <f t="shared" si="5"/>
        <v>0</v>
      </c>
      <c r="C40" s="18">
        <f t="shared" si="5"/>
        <v>0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18">
        <f t="shared" si="5"/>
        <v>0</v>
      </c>
      <c r="H40" s="18">
        <f t="shared" si="5"/>
        <v>0</v>
      </c>
      <c r="I40" s="18">
        <f t="shared" si="5"/>
        <v>0</v>
      </c>
      <c r="J40" s="18">
        <f t="shared" si="5"/>
        <v>0</v>
      </c>
      <c r="K40" s="18">
        <f t="shared" si="5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12940000</v>
      </c>
      <c r="R40" s="18">
        <f t="shared" si="6"/>
        <v>0</v>
      </c>
      <c r="S40" s="18">
        <f t="shared" si="2"/>
        <v>12940000</v>
      </c>
      <c r="T40" s="18">
        <v>20325000</v>
      </c>
      <c r="U40" s="19">
        <f t="shared" si="3"/>
        <v>-7385000</v>
      </c>
      <c r="V40" s="16">
        <f t="shared" si="4"/>
        <v>-0.3633456334563346</v>
      </c>
      <c r="W40" s="2"/>
    </row>
    <row r="41" spans="1:23" ht="12" customHeight="1">
      <c r="A41" s="13" t="s">
        <v>53</v>
      </c>
      <c r="B41" s="18">
        <f t="shared" si="5"/>
        <v>0</v>
      </c>
      <c r="C41" s="18">
        <f t="shared" si="5"/>
        <v>0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6"/>
        <v>0</v>
      </c>
      <c r="M41" s="18">
        <f t="shared" si="6"/>
        <v>0</v>
      </c>
      <c r="N41" s="18">
        <f t="shared" si="6"/>
        <v>0</v>
      </c>
      <c r="O41" s="18">
        <f t="shared" si="6"/>
        <v>0</v>
      </c>
      <c r="P41" s="18">
        <f t="shared" si="6"/>
        <v>0</v>
      </c>
      <c r="Q41" s="18">
        <f t="shared" si="6"/>
        <v>3115000</v>
      </c>
      <c r="R41" s="18">
        <f t="shared" si="6"/>
        <v>0</v>
      </c>
      <c r="S41" s="18">
        <f t="shared" si="2"/>
        <v>3115000</v>
      </c>
      <c r="T41" s="18">
        <v>4330000</v>
      </c>
      <c r="U41" s="19">
        <f t="shared" si="3"/>
        <v>-1215000</v>
      </c>
      <c r="V41" s="16">
        <f t="shared" si="4"/>
        <v>-0.2806004618937644</v>
      </c>
      <c r="W41" s="2"/>
    </row>
    <row r="42" spans="1:23" ht="12" customHeight="1">
      <c r="A42" s="13" t="s">
        <v>54</v>
      </c>
      <c r="B42" s="18">
        <f t="shared" si="5"/>
        <v>0</v>
      </c>
      <c r="C42" s="18">
        <f t="shared" si="5"/>
        <v>0</v>
      </c>
      <c r="D42" s="18">
        <f t="shared" si="5"/>
        <v>0</v>
      </c>
      <c r="E42" s="18">
        <f t="shared" si="5"/>
        <v>0</v>
      </c>
      <c r="F42" s="18">
        <f t="shared" si="5"/>
        <v>0</v>
      </c>
      <c r="G42" s="18">
        <f t="shared" si="5"/>
        <v>0</v>
      </c>
      <c r="H42" s="18">
        <f t="shared" si="5"/>
        <v>0</v>
      </c>
      <c r="I42" s="18">
        <f t="shared" si="5"/>
        <v>0</v>
      </c>
      <c r="J42" s="18">
        <f t="shared" si="5"/>
        <v>0</v>
      </c>
      <c r="K42" s="18">
        <f t="shared" si="5"/>
        <v>0</v>
      </c>
      <c r="L42" s="18">
        <f t="shared" si="6"/>
        <v>0</v>
      </c>
      <c r="M42" s="18">
        <f t="shared" si="6"/>
        <v>49595</v>
      </c>
      <c r="N42" s="18">
        <f t="shared" si="6"/>
        <v>0</v>
      </c>
      <c r="O42" s="18">
        <f t="shared" si="6"/>
        <v>459556</v>
      </c>
      <c r="P42" s="18">
        <f t="shared" si="6"/>
        <v>0</v>
      </c>
      <c r="Q42" s="18">
        <f t="shared" si="6"/>
        <v>0</v>
      </c>
      <c r="R42" s="18">
        <f t="shared" si="6"/>
        <v>0</v>
      </c>
      <c r="S42" s="18">
        <f t="shared" si="2"/>
        <v>509151</v>
      </c>
      <c r="T42" s="18">
        <v>37664</v>
      </c>
      <c r="U42" s="19">
        <f t="shared" si="3"/>
        <v>471487</v>
      </c>
      <c r="V42" s="16">
        <f t="shared" si="4"/>
        <v>12.518240229396772</v>
      </c>
      <c r="W42" s="2"/>
    </row>
    <row r="43" spans="1:23" ht="12" customHeight="1">
      <c r="A43" s="13" t="s">
        <v>55</v>
      </c>
      <c r="B43" s="18">
        <f t="shared" si="5"/>
        <v>0</v>
      </c>
      <c r="C43" s="18">
        <f t="shared" si="5"/>
        <v>0</v>
      </c>
      <c r="D43" s="18">
        <f t="shared" si="5"/>
        <v>0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 t="shared" si="5"/>
        <v>0</v>
      </c>
      <c r="K43" s="18">
        <f t="shared" si="5"/>
        <v>0</v>
      </c>
      <c r="L43" s="18">
        <f t="shared" si="6"/>
        <v>124978</v>
      </c>
      <c r="M43" s="18">
        <f t="shared" si="6"/>
        <v>55822</v>
      </c>
      <c r="N43" s="18">
        <f t="shared" si="6"/>
        <v>0</v>
      </c>
      <c r="O43" s="18">
        <f t="shared" si="6"/>
        <v>99850</v>
      </c>
      <c r="P43" s="18">
        <f t="shared" si="6"/>
        <v>0</v>
      </c>
      <c r="Q43" s="18">
        <f t="shared" si="6"/>
        <v>0</v>
      </c>
      <c r="R43" s="18">
        <f t="shared" si="6"/>
        <v>0</v>
      </c>
      <c r="S43" s="18">
        <f t="shared" si="2"/>
        <v>280650</v>
      </c>
      <c r="T43" s="18">
        <v>311563</v>
      </c>
      <c r="U43" s="19">
        <f t="shared" si="3"/>
        <v>-30913</v>
      </c>
      <c r="V43" s="16">
        <f t="shared" si="4"/>
        <v>-0.09921909854507756</v>
      </c>
      <c r="W43" s="2"/>
    </row>
    <row r="44" spans="1:23" ht="12" customHeight="1">
      <c r="A44" s="13" t="s">
        <v>56</v>
      </c>
      <c r="B44" s="18">
        <f aca="true" t="shared" si="7" ref="B44:Q59">SUMIF($A$97:$A$222,$A$12:$A$90,B$97:B$222)</f>
        <v>0</v>
      </c>
      <c r="C44" s="18">
        <f t="shared" si="7"/>
        <v>0</v>
      </c>
      <c r="D44" s="18">
        <f t="shared" si="7"/>
        <v>0</v>
      </c>
      <c r="E44" s="18">
        <f t="shared" si="7"/>
        <v>0</v>
      </c>
      <c r="F44" s="18">
        <f t="shared" si="7"/>
        <v>0</v>
      </c>
      <c r="G44" s="18">
        <f t="shared" si="7"/>
        <v>0</v>
      </c>
      <c r="H44" s="18">
        <f t="shared" si="7"/>
        <v>0</v>
      </c>
      <c r="I44" s="18">
        <f t="shared" si="7"/>
        <v>0</v>
      </c>
      <c r="J44" s="18">
        <f t="shared" si="7"/>
        <v>0</v>
      </c>
      <c r="K44" s="18">
        <f t="shared" si="7"/>
        <v>0</v>
      </c>
      <c r="L44" s="18">
        <f t="shared" si="7"/>
        <v>0</v>
      </c>
      <c r="M44" s="18">
        <f t="shared" si="7"/>
        <v>0</v>
      </c>
      <c r="N44" s="18">
        <f t="shared" si="7"/>
        <v>0</v>
      </c>
      <c r="O44" s="18">
        <f t="shared" si="7"/>
        <v>0</v>
      </c>
      <c r="P44" s="18">
        <f t="shared" si="7"/>
        <v>0</v>
      </c>
      <c r="Q44" s="18">
        <f t="shared" si="7"/>
        <v>0</v>
      </c>
      <c r="R44" s="18">
        <f aca="true" t="shared" si="8" ref="L44:R59">SUMIF($A$97:$A$222,$A$12:$A$90,R$97:R$222)</f>
        <v>1924172</v>
      </c>
      <c r="S44" s="18">
        <f t="shared" si="2"/>
        <v>1924172</v>
      </c>
      <c r="T44" s="18">
        <v>1389562</v>
      </c>
      <c r="U44" s="19">
        <f t="shared" si="3"/>
        <v>534610</v>
      </c>
      <c r="V44" s="16">
        <f t="shared" si="4"/>
        <v>0.3847327431233727</v>
      </c>
      <c r="W44" s="2"/>
    </row>
    <row r="45" spans="1:23" ht="12" customHeight="1">
      <c r="A45" s="13" t="s">
        <v>57</v>
      </c>
      <c r="B45" s="18">
        <f t="shared" si="7"/>
        <v>0</v>
      </c>
      <c r="C45" s="18">
        <f t="shared" si="7"/>
        <v>0</v>
      </c>
      <c r="D45" s="18">
        <f t="shared" si="7"/>
        <v>0</v>
      </c>
      <c r="E45" s="18">
        <f t="shared" si="7"/>
        <v>0</v>
      </c>
      <c r="F45" s="18">
        <f t="shared" si="7"/>
        <v>0</v>
      </c>
      <c r="G45" s="18">
        <f t="shared" si="7"/>
        <v>0</v>
      </c>
      <c r="H45" s="18">
        <f t="shared" si="7"/>
        <v>100</v>
      </c>
      <c r="I45" s="18">
        <f t="shared" si="7"/>
        <v>0</v>
      </c>
      <c r="J45" s="18">
        <f t="shared" si="7"/>
        <v>0</v>
      </c>
      <c r="K45" s="18">
        <f t="shared" si="7"/>
        <v>0</v>
      </c>
      <c r="L45" s="18">
        <f t="shared" si="8"/>
        <v>0</v>
      </c>
      <c r="M45" s="18">
        <f t="shared" si="8"/>
        <v>12096077</v>
      </c>
      <c r="N45" s="18">
        <f t="shared" si="8"/>
        <v>0</v>
      </c>
      <c r="O45" s="18">
        <f t="shared" si="8"/>
        <v>0</v>
      </c>
      <c r="P45" s="18">
        <f t="shared" si="8"/>
        <v>0</v>
      </c>
      <c r="Q45" s="18">
        <f t="shared" si="8"/>
        <v>0</v>
      </c>
      <c r="R45" s="18">
        <f t="shared" si="8"/>
        <v>0</v>
      </c>
      <c r="S45" s="18">
        <f t="shared" si="2"/>
        <v>12096177</v>
      </c>
      <c r="T45" s="18">
        <v>10781135</v>
      </c>
      <c r="U45" s="19">
        <f t="shared" si="3"/>
        <v>1315042</v>
      </c>
      <c r="V45" s="16">
        <f t="shared" si="4"/>
        <v>0.12197621122451394</v>
      </c>
      <c r="W45" s="2"/>
    </row>
    <row r="46" spans="1:23" ht="12" customHeight="1">
      <c r="A46" s="13" t="s">
        <v>58</v>
      </c>
      <c r="B46" s="18">
        <f t="shared" si="7"/>
        <v>0</v>
      </c>
      <c r="C46" s="18">
        <f t="shared" si="7"/>
        <v>0</v>
      </c>
      <c r="D46" s="18">
        <f t="shared" si="7"/>
        <v>0</v>
      </c>
      <c r="E46" s="18">
        <f t="shared" si="7"/>
        <v>0</v>
      </c>
      <c r="F46" s="18">
        <f t="shared" si="7"/>
        <v>0</v>
      </c>
      <c r="G46" s="18">
        <f t="shared" si="7"/>
        <v>0</v>
      </c>
      <c r="H46" s="18">
        <f t="shared" si="7"/>
        <v>0</v>
      </c>
      <c r="I46" s="18">
        <f t="shared" si="7"/>
        <v>0</v>
      </c>
      <c r="J46" s="18">
        <f t="shared" si="7"/>
        <v>0</v>
      </c>
      <c r="K46" s="18">
        <f t="shared" si="7"/>
        <v>0</v>
      </c>
      <c r="L46" s="18">
        <f t="shared" si="8"/>
        <v>0</v>
      </c>
      <c r="M46" s="18">
        <f t="shared" si="8"/>
        <v>0</v>
      </c>
      <c r="N46" s="18">
        <f t="shared" si="8"/>
        <v>1364758</v>
      </c>
      <c r="O46" s="18">
        <f t="shared" si="8"/>
        <v>0</v>
      </c>
      <c r="P46" s="18">
        <f t="shared" si="8"/>
        <v>0</v>
      </c>
      <c r="Q46" s="18">
        <f t="shared" si="8"/>
        <v>0</v>
      </c>
      <c r="R46" s="18">
        <f t="shared" si="8"/>
        <v>0</v>
      </c>
      <c r="S46" s="18">
        <f t="shared" si="2"/>
        <v>1364758</v>
      </c>
      <c r="T46" s="18">
        <v>927703</v>
      </c>
      <c r="U46" s="19">
        <f t="shared" si="3"/>
        <v>437055</v>
      </c>
      <c r="V46" s="16">
        <f t="shared" si="4"/>
        <v>0.4711152168312488</v>
      </c>
      <c r="W46" s="2"/>
    </row>
    <row r="47" spans="1:23" ht="12" customHeight="1">
      <c r="A47" s="13" t="s">
        <v>60</v>
      </c>
      <c r="B47" s="18">
        <f t="shared" si="7"/>
        <v>0</v>
      </c>
      <c r="C47" s="18">
        <f t="shared" si="7"/>
        <v>0</v>
      </c>
      <c r="D47" s="18">
        <f t="shared" si="7"/>
        <v>0</v>
      </c>
      <c r="E47" s="18">
        <v>0</v>
      </c>
      <c r="F47" s="18">
        <f t="shared" si="7"/>
        <v>0</v>
      </c>
      <c r="G47" s="18">
        <f t="shared" si="7"/>
        <v>0</v>
      </c>
      <c r="H47" s="18">
        <v>0</v>
      </c>
      <c r="I47" s="18">
        <f t="shared" si="7"/>
        <v>0</v>
      </c>
      <c r="J47" s="18">
        <f t="shared" si="7"/>
        <v>40416</v>
      </c>
      <c r="K47" s="18">
        <f t="shared" si="7"/>
        <v>0</v>
      </c>
      <c r="L47" s="18">
        <f t="shared" si="7"/>
        <v>0</v>
      </c>
      <c r="M47" s="18">
        <v>0</v>
      </c>
      <c r="N47" s="18">
        <f t="shared" si="8"/>
        <v>0</v>
      </c>
      <c r="O47" s="18"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18">
        <f t="shared" si="2"/>
        <v>40416</v>
      </c>
      <c r="T47" s="18">
        <v>5284</v>
      </c>
      <c r="U47" s="19">
        <f t="shared" si="3"/>
        <v>35132</v>
      </c>
      <c r="V47" s="16">
        <f t="shared" si="4"/>
        <v>6.6487509462528385</v>
      </c>
      <c r="W47" s="2"/>
    </row>
    <row r="48" spans="1:23" ht="12" customHeight="1">
      <c r="A48" s="13" t="s">
        <v>59</v>
      </c>
      <c r="B48" s="18">
        <f t="shared" si="7"/>
        <v>0</v>
      </c>
      <c r="C48" s="18">
        <f t="shared" si="7"/>
        <v>0</v>
      </c>
      <c r="D48" s="18">
        <f t="shared" si="7"/>
        <v>0</v>
      </c>
      <c r="E48" s="18">
        <f>SUMIF($A$97:$A$222,$A$12:$A$90,E$97:E$222)</f>
        <v>0</v>
      </c>
      <c r="F48" s="18">
        <f t="shared" si="7"/>
        <v>0</v>
      </c>
      <c r="G48" s="18">
        <f t="shared" si="7"/>
        <v>157820</v>
      </c>
      <c r="H48" s="18">
        <f>SUMIF($A$97:$A$222,$A$12:$A$90,H$97:H$222)</f>
        <v>0</v>
      </c>
      <c r="I48" s="18">
        <f t="shared" si="7"/>
        <v>0</v>
      </c>
      <c r="J48" s="18">
        <f t="shared" si="7"/>
        <v>0</v>
      </c>
      <c r="K48" s="18">
        <f t="shared" si="7"/>
        <v>0</v>
      </c>
      <c r="L48" s="18">
        <f t="shared" si="7"/>
        <v>0</v>
      </c>
      <c r="M48" s="18">
        <f>SUMIF($A$97:$A$222,$A$12:$A$90,M$97:M$222)</f>
        <v>0</v>
      </c>
      <c r="N48" s="18">
        <f t="shared" si="8"/>
        <v>0</v>
      </c>
      <c r="O48" s="18">
        <f>SUMIF($A$97:$A$222,$A$12:$A$90,O$97:O$222)</f>
        <v>0</v>
      </c>
      <c r="P48" s="18">
        <f t="shared" si="8"/>
        <v>0</v>
      </c>
      <c r="Q48" s="18">
        <f t="shared" si="8"/>
        <v>0</v>
      </c>
      <c r="R48" s="18">
        <f t="shared" si="8"/>
        <v>0</v>
      </c>
      <c r="S48" s="18">
        <f t="shared" si="2"/>
        <v>157820</v>
      </c>
      <c r="T48" s="18">
        <v>138856</v>
      </c>
      <c r="U48" s="19">
        <f t="shared" si="3"/>
        <v>18964</v>
      </c>
      <c r="V48" s="16">
        <f t="shared" si="4"/>
        <v>0.13657314051967506</v>
      </c>
      <c r="W48" s="2"/>
    </row>
    <row r="49" spans="1:23" ht="12" customHeight="1">
      <c r="A49" s="13" t="s">
        <v>61</v>
      </c>
      <c r="B49" s="18">
        <f t="shared" si="7"/>
        <v>0</v>
      </c>
      <c r="C49" s="18">
        <f t="shared" si="7"/>
        <v>0</v>
      </c>
      <c r="D49" s="18">
        <f t="shared" si="7"/>
        <v>0</v>
      </c>
      <c r="E49" s="18">
        <v>0</v>
      </c>
      <c r="F49" s="18">
        <f t="shared" si="7"/>
        <v>0</v>
      </c>
      <c r="G49" s="18">
        <f t="shared" si="7"/>
        <v>0</v>
      </c>
      <c r="H49" s="18">
        <v>0</v>
      </c>
      <c r="I49" s="18">
        <f t="shared" si="7"/>
        <v>0</v>
      </c>
      <c r="J49" s="18">
        <f t="shared" si="7"/>
        <v>0</v>
      </c>
      <c r="K49" s="18">
        <f t="shared" si="7"/>
        <v>1676601</v>
      </c>
      <c r="L49" s="18">
        <f t="shared" si="7"/>
        <v>0</v>
      </c>
      <c r="M49" s="18">
        <v>0</v>
      </c>
      <c r="N49" s="18">
        <f t="shared" si="8"/>
        <v>0</v>
      </c>
      <c r="O49" s="18">
        <v>0</v>
      </c>
      <c r="P49" s="18">
        <f t="shared" si="8"/>
        <v>0</v>
      </c>
      <c r="Q49" s="18">
        <f t="shared" si="8"/>
        <v>0</v>
      </c>
      <c r="R49" s="18">
        <f t="shared" si="8"/>
        <v>0</v>
      </c>
      <c r="S49" s="18">
        <f t="shared" si="2"/>
        <v>1676601</v>
      </c>
      <c r="T49" s="18">
        <f>1334027-5284</f>
        <v>1328743</v>
      </c>
      <c r="U49" s="19">
        <f t="shared" si="3"/>
        <v>347858</v>
      </c>
      <c r="V49" s="16">
        <f t="shared" si="4"/>
        <v>0.2617947940271369</v>
      </c>
      <c r="W49" s="2"/>
    </row>
    <row r="50" spans="1:23" ht="12" customHeight="1">
      <c r="A50" s="13" t="s">
        <v>62</v>
      </c>
      <c r="B50" s="18">
        <f t="shared" si="7"/>
        <v>0</v>
      </c>
      <c r="C50" s="18">
        <f t="shared" si="7"/>
        <v>0</v>
      </c>
      <c r="D50" s="18">
        <f t="shared" si="7"/>
        <v>0</v>
      </c>
      <c r="E50" s="18">
        <f t="shared" si="7"/>
        <v>0</v>
      </c>
      <c r="F50" s="18">
        <f t="shared" si="7"/>
        <v>0</v>
      </c>
      <c r="G50" s="18">
        <f t="shared" si="7"/>
        <v>0</v>
      </c>
      <c r="H50" s="18">
        <f t="shared" si="7"/>
        <v>0</v>
      </c>
      <c r="I50" s="18">
        <f t="shared" si="7"/>
        <v>0</v>
      </c>
      <c r="J50" s="18">
        <f t="shared" si="7"/>
        <v>0</v>
      </c>
      <c r="K50" s="18">
        <f t="shared" si="7"/>
        <v>1269697</v>
      </c>
      <c r="L50" s="18">
        <f t="shared" si="7"/>
        <v>0</v>
      </c>
      <c r="M50" s="18">
        <f t="shared" si="7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2"/>
        <v>1269697</v>
      </c>
      <c r="T50" s="18">
        <v>933554</v>
      </c>
      <c r="U50" s="19">
        <f t="shared" si="3"/>
        <v>336143</v>
      </c>
      <c r="V50" s="16">
        <f t="shared" si="4"/>
        <v>0.3600680839030201</v>
      </c>
      <c r="W50" s="2"/>
    </row>
    <row r="51" spans="1:23" ht="12" customHeight="1">
      <c r="A51" s="13" t="s">
        <v>63</v>
      </c>
      <c r="B51" s="18">
        <f t="shared" si="7"/>
        <v>280</v>
      </c>
      <c r="C51" s="18">
        <f t="shared" si="7"/>
        <v>15246</v>
      </c>
      <c r="D51" s="18">
        <f t="shared" si="7"/>
        <v>0</v>
      </c>
      <c r="E51" s="18">
        <f t="shared" si="7"/>
        <v>0</v>
      </c>
      <c r="F51" s="18">
        <f t="shared" si="7"/>
        <v>0</v>
      </c>
      <c r="G51" s="18">
        <f t="shared" si="7"/>
        <v>81057</v>
      </c>
      <c r="H51" s="18">
        <f t="shared" si="7"/>
        <v>0</v>
      </c>
      <c r="I51" s="18">
        <f t="shared" si="7"/>
        <v>0</v>
      </c>
      <c r="J51" s="18">
        <f t="shared" si="7"/>
        <v>64988</v>
      </c>
      <c r="K51" s="18">
        <f t="shared" si="7"/>
        <v>1722973</v>
      </c>
      <c r="L51" s="18">
        <f t="shared" si="7"/>
        <v>0</v>
      </c>
      <c r="M51" s="18">
        <f t="shared" si="7"/>
        <v>0</v>
      </c>
      <c r="N51" s="18">
        <f t="shared" si="8"/>
        <v>0</v>
      </c>
      <c r="O51" s="18">
        <f t="shared" si="8"/>
        <v>0</v>
      </c>
      <c r="P51" s="18">
        <f t="shared" si="8"/>
        <v>0</v>
      </c>
      <c r="Q51" s="18">
        <f t="shared" si="8"/>
        <v>0</v>
      </c>
      <c r="R51" s="18">
        <f t="shared" si="8"/>
        <v>7636</v>
      </c>
      <c r="S51" s="18">
        <f t="shared" si="2"/>
        <v>1892180</v>
      </c>
      <c r="T51" s="18">
        <v>1237453</v>
      </c>
      <c r="U51" s="19">
        <f t="shared" si="3"/>
        <v>654727</v>
      </c>
      <c r="V51" s="16">
        <f t="shared" si="4"/>
        <v>0.5290924180554736</v>
      </c>
      <c r="W51" s="2"/>
    </row>
    <row r="52" spans="1:23" ht="12" customHeight="1">
      <c r="A52" s="13" t="s">
        <v>64</v>
      </c>
      <c r="B52" s="18">
        <f t="shared" si="7"/>
        <v>0</v>
      </c>
      <c r="C52" s="18">
        <f t="shared" si="7"/>
        <v>0</v>
      </c>
      <c r="D52" s="18">
        <f t="shared" si="7"/>
        <v>0</v>
      </c>
      <c r="E52" s="18">
        <f t="shared" si="7"/>
        <v>0</v>
      </c>
      <c r="F52" s="18">
        <f t="shared" si="7"/>
        <v>0</v>
      </c>
      <c r="G52" s="18">
        <f t="shared" si="7"/>
        <v>0</v>
      </c>
      <c r="H52" s="18">
        <f t="shared" si="7"/>
        <v>0</v>
      </c>
      <c r="I52" s="18">
        <f t="shared" si="7"/>
        <v>0</v>
      </c>
      <c r="J52" s="18">
        <f t="shared" si="7"/>
        <v>0</v>
      </c>
      <c r="K52" s="18">
        <f t="shared" si="7"/>
        <v>1752</v>
      </c>
      <c r="L52" s="18">
        <f t="shared" si="7"/>
        <v>0</v>
      </c>
      <c r="M52" s="18">
        <f t="shared" si="7"/>
        <v>0</v>
      </c>
      <c r="N52" s="18">
        <f t="shared" si="8"/>
        <v>0</v>
      </c>
      <c r="O52" s="18">
        <f t="shared" si="8"/>
        <v>0</v>
      </c>
      <c r="P52" s="18">
        <f t="shared" si="8"/>
        <v>0</v>
      </c>
      <c r="Q52" s="18">
        <f t="shared" si="8"/>
        <v>0</v>
      </c>
      <c r="R52" s="18">
        <f t="shared" si="8"/>
        <v>0</v>
      </c>
      <c r="S52" s="18">
        <f t="shared" si="2"/>
        <v>1752</v>
      </c>
      <c r="T52" s="18">
        <v>1568</v>
      </c>
      <c r="U52" s="19">
        <f t="shared" si="3"/>
        <v>184</v>
      </c>
      <c r="V52" s="16">
        <f t="shared" si="4"/>
        <v>0.11734693877551021</v>
      </c>
      <c r="W52" s="2"/>
    </row>
    <row r="53" spans="1:23" ht="12" customHeight="1">
      <c r="A53" s="13" t="s">
        <v>65</v>
      </c>
      <c r="B53" s="18">
        <f t="shared" si="7"/>
        <v>0</v>
      </c>
      <c r="C53" s="18">
        <f t="shared" si="7"/>
        <v>0</v>
      </c>
      <c r="D53" s="18">
        <f t="shared" si="7"/>
        <v>0</v>
      </c>
      <c r="E53" s="18">
        <f t="shared" si="7"/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1122</v>
      </c>
      <c r="K53" s="18">
        <f t="shared" si="7"/>
        <v>8177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  <c r="Q53" s="18">
        <f t="shared" si="7"/>
        <v>0</v>
      </c>
      <c r="R53" s="18">
        <f t="shared" si="8"/>
        <v>0</v>
      </c>
      <c r="S53" s="18">
        <f t="shared" si="2"/>
        <v>9299</v>
      </c>
      <c r="T53" s="18">
        <v>8259</v>
      </c>
      <c r="U53" s="19">
        <f t="shared" si="3"/>
        <v>1040</v>
      </c>
      <c r="V53" s="16">
        <f t="shared" si="4"/>
        <v>0.12592323525850588</v>
      </c>
      <c r="W53" s="2"/>
    </row>
    <row r="54" spans="1:23" ht="12" customHeight="1">
      <c r="A54" s="13" t="s">
        <v>66</v>
      </c>
      <c r="B54" s="18">
        <f t="shared" si="7"/>
        <v>0</v>
      </c>
      <c r="C54" s="18">
        <f t="shared" si="7"/>
        <v>0</v>
      </c>
      <c r="D54" s="18">
        <f t="shared" si="7"/>
        <v>0</v>
      </c>
      <c r="E54" s="18">
        <f t="shared" si="7"/>
        <v>0</v>
      </c>
      <c r="F54" s="18">
        <f t="shared" si="7"/>
        <v>0</v>
      </c>
      <c r="G54" s="18">
        <f t="shared" si="7"/>
        <v>0</v>
      </c>
      <c r="H54" s="18">
        <f t="shared" si="7"/>
        <v>0</v>
      </c>
      <c r="I54" s="18">
        <f t="shared" si="7"/>
        <v>0</v>
      </c>
      <c r="J54" s="18">
        <f t="shared" si="7"/>
        <v>0</v>
      </c>
      <c r="K54" s="18">
        <f t="shared" si="7"/>
        <v>91960</v>
      </c>
      <c r="L54" s="18">
        <f t="shared" si="8"/>
        <v>0</v>
      </c>
      <c r="M54" s="18">
        <f t="shared" si="8"/>
        <v>0</v>
      </c>
      <c r="N54" s="18">
        <f t="shared" si="8"/>
        <v>0</v>
      </c>
      <c r="O54" s="18">
        <f t="shared" si="8"/>
        <v>0</v>
      </c>
      <c r="P54" s="18">
        <f t="shared" si="8"/>
        <v>0</v>
      </c>
      <c r="Q54" s="18">
        <f t="shared" si="8"/>
        <v>0</v>
      </c>
      <c r="R54" s="18">
        <f t="shared" si="8"/>
        <v>0</v>
      </c>
      <c r="S54" s="18">
        <f t="shared" si="2"/>
        <v>91960</v>
      </c>
      <c r="T54" s="18">
        <v>55936</v>
      </c>
      <c r="U54" s="19">
        <f t="shared" si="3"/>
        <v>36024</v>
      </c>
      <c r="V54" s="16">
        <f t="shared" si="4"/>
        <v>0.6440217391304348</v>
      </c>
      <c r="W54" s="2"/>
    </row>
    <row r="55" spans="1:23" ht="12" customHeight="1">
      <c r="A55" s="13" t="s">
        <v>67</v>
      </c>
      <c r="B55" s="18">
        <f t="shared" si="7"/>
        <v>14776</v>
      </c>
      <c r="C55" s="18">
        <f t="shared" si="7"/>
        <v>14760</v>
      </c>
      <c r="D55" s="18">
        <f t="shared" si="7"/>
        <v>15430</v>
      </c>
      <c r="E55" s="18">
        <f t="shared" si="7"/>
        <v>5743</v>
      </c>
      <c r="F55" s="18">
        <f t="shared" si="7"/>
        <v>5835</v>
      </c>
      <c r="G55" s="18">
        <f t="shared" si="7"/>
        <v>6371</v>
      </c>
      <c r="H55" s="18">
        <f t="shared" si="7"/>
        <v>11381</v>
      </c>
      <c r="I55" s="18">
        <f t="shared" si="7"/>
        <v>12869</v>
      </c>
      <c r="J55" s="18">
        <f t="shared" si="7"/>
        <v>14670</v>
      </c>
      <c r="K55" s="18">
        <f t="shared" si="7"/>
        <v>55010</v>
      </c>
      <c r="L55" s="18">
        <f t="shared" si="8"/>
        <v>0</v>
      </c>
      <c r="M55" s="18">
        <f t="shared" si="8"/>
        <v>19916</v>
      </c>
      <c r="N55" s="18">
        <f t="shared" si="8"/>
        <v>25853</v>
      </c>
      <c r="O55" s="18">
        <f t="shared" si="8"/>
        <v>38050</v>
      </c>
      <c r="P55" s="18">
        <f t="shared" si="8"/>
        <v>31579</v>
      </c>
      <c r="Q55" s="18">
        <f t="shared" si="8"/>
        <v>11711</v>
      </c>
      <c r="R55" s="18">
        <f t="shared" si="8"/>
        <v>18449</v>
      </c>
      <c r="S55" s="18">
        <f t="shared" si="2"/>
        <v>302403</v>
      </c>
      <c r="T55" s="18">
        <v>264981</v>
      </c>
      <c r="U55" s="19">
        <f t="shared" si="3"/>
        <v>37422</v>
      </c>
      <c r="V55" s="16">
        <f t="shared" si="4"/>
        <v>0.14122521992142834</v>
      </c>
      <c r="W55" s="2"/>
    </row>
    <row r="56" spans="1:23" ht="12" customHeight="1">
      <c r="A56" s="13" t="s">
        <v>68</v>
      </c>
      <c r="B56" s="18">
        <f t="shared" si="7"/>
        <v>3418</v>
      </c>
      <c r="C56" s="18">
        <f t="shared" si="7"/>
        <v>50093</v>
      </c>
      <c r="D56" s="18">
        <f t="shared" si="7"/>
        <v>8500</v>
      </c>
      <c r="E56" s="18">
        <f t="shared" si="7"/>
        <v>2921</v>
      </c>
      <c r="F56" s="18">
        <f t="shared" si="7"/>
        <v>740</v>
      </c>
      <c r="G56" s="18">
        <f t="shared" si="7"/>
        <v>8440</v>
      </c>
      <c r="H56" s="18">
        <f t="shared" si="7"/>
        <v>5060</v>
      </c>
      <c r="I56" s="18">
        <f t="shared" si="7"/>
        <v>77763</v>
      </c>
      <c r="J56" s="18">
        <f t="shared" si="7"/>
        <v>87452</v>
      </c>
      <c r="K56" s="18">
        <f t="shared" si="7"/>
        <v>28155</v>
      </c>
      <c r="L56" s="18">
        <f t="shared" si="8"/>
        <v>1120</v>
      </c>
      <c r="M56" s="18">
        <f t="shared" si="8"/>
        <v>104469</v>
      </c>
      <c r="N56" s="18">
        <f t="shared" si="8"/>
        <v>6062</v>
      </c>
      <c r="O56" s="18">
        <f t="shared" si="8"/>
        <v>22915</v>
      </c>
      <c r="P56" s="18">
        <f t="shared" si="8"/>
        <v>11278</v>
      </c>
      <c r="Q56" s="18">
        <f t="shared" si="8"/>
        <v>3855</v>
      </c>
      <c r="R56" s="18">
        <f t="shared" si="8"/>
        <v>5424</v>
      </c>
      <c r="S56" s="18">
        <f t="shared" si="2"/>
        <v>427665</v>
      </c>
      <c r="T56" s="18">
        <v>262985</v>
      </c>
      <c r="U56" s="19">
        <f t="shared" si="3"/>
        <v>164680</v>
      </c>
      <c r="V56" s="16">
        <f t="shared" si="4"/>
        <v>0.6261954103846227</v>
      </c>
      <c r="W56" s="2"/>
    </row>
    <row r="57" spans="1:23" ht="12" customHeight="1">
      <c r="A57" s="13" t="s">
        <v>69</v>
      </c>
      <c r="B57" s="18">
        <f t="shared" si="7"/>
        <v>10505</v>
      </c>
      <c r="C57" s="18">
        <f t="shared" si="7"/>
        <v>9187</v>
      </c>
      <c r="D57" s="18">
        <f t="shared" si="7"/>
        <v>0</v>
      </c>
      <c r="E57" s="18">
        <f t="shared" si="7"/>
        <v>5228</v>
      </c>
      <c r="F57" s="18">
        <f t="shared" si="7"/>
        <v>2816</v>
      </c>
      <c r="G57" s="18">
        <f t="shared" si="7"/>
        <v>87669</v>
      </c>
      <c r="H57" s="18">
        <f t="shared" si="7"/>
        <v>12216</v>
      </c>
      <c r="I57" s="18">
        <f t="shared" si="7"/>
        <v>3423</v>
      </c>
      <c r="J57" s="18">
        <f t="shared" si="7"/>
        <v>25705</v>
      </c>
      <c r="K57" s="18">
        <f t="shared" si="7"/>
        <v>2960</v>
      </c>
      <c r="L57" s="18">
        <f t="shared" si="8"/>
        <v>0</v>
      </c>
      <c r="M57" s="18">
        <f t="shared" si="8"/>
        <v>67793</v>
      </c>
      <c r="N57" s="18">
        <f t="shared" si="8"/>
        <v>118801</v>
      </c>
      <c r="O57" s="18">
        <f t="shared" si="8"/>
        <v>67775</v>
      </c>
      <c r="P57" s="18">
        <f t="shared" si="8"/>
        <v>3053</v>
      </c>
      <c r="Q57" s="18">
        <f t="shared" si="8"/>
        <v>6283</v>
      </c>
      <c r="R57" s="18">
        <f t="shared" si="8"/>
        <v>33614</v>
      </c>
      <c r="S57" s="18">
        <f t="shared" si="2"/>
        <v>457028</v>
      </c>
      <c r="T57" s="18">
        <v>406374</v>
      </c>
      <c r="U57" s="19">
        <f t="shared" si="3"/>
        <v>50654</v>
      </c>
      <c r="V57" s="16">
        <f t="shared" si="4"/>
        <v>0.12464872260528478</v>
      </c>
      <c r="W57" s="2"/>
    </row>
    <row r="58" spans="1:23" ht="12" customHeight="1">
      <c r="A58" s="13" t="s">
        <v>70</v>
      </c>
      <c r="B58" s="18">
        <f t="shared" si="7"/>
        <v>644</v>
      </c>
      <c r="C58" s="18">
        <f t="shared" si="7"/>
        <v>0</v>
      </c>
      <c r="D58" s="18">
        <f t="shared" si="7"/>
        <v>0</v>
      </c>
      <c r="E58" s="18">
        <f t="shared" si="7"/>
        <v>0</v>
      </c>
      <c r="F58" s="18">
        <f t="shared" si="7"/>
        <v>0</v>
      </c>
      <c r="G58" s="18">
        <f t="shared" si="7"/>
        <v>0</v>
      </c>
      <c r="H58" s="18">
        <f t="shared" si="7"/>
        <v>801</v>
      </c>
      <c r="I58" s="18">
        <f t="shared" si="7"/>
        <v>0</v>
      </c>
      <c r="J58" s="18">
        <f t="shared" si="7"/>
        <v>3892</v>
      </c>
      <c r="K58" s="18">
        <f t="shared" si="7"/>
        <v>0</v>
      </c>
      <c r="L58" s="18">
        <f t="shared" si="8"/>
        <v>0</v>
      </c>
      <c r="M58" s="18">
        <f t="shared" si="8"/>
        <v>0</v>
      </c>
      <c r="N58" s="18">
        <f t="shared" si="8"/>
        <v>0</v>
      </c>
      <c r="O58" s="18">
        <f t="shared" si="8"/>
        <v>20490</v>
      </c>
      <c r="P58" s="18">
        <f t="shared" si="8"/>
        <v>0</v>
      </c>
      <c r="Q58" s="18">
        <f t="shared" si="8"/>
        <v>600</v>
      </c>
      <c r="R58" s="18">
        <f t="shared" si="8"/>
        <v>0</v>
      </c>
      <c r="S58" s="18">
        <f t="shared" si="2"/>
        <v>26427</v>
      </c>
      <c r="T58" s="18">
        <v>32699</v>
      </c>
      <c r="U58" s="19">
        <f t="shared" si="3"/>
        <v>-6272</v>
      </c>
      <c r="V58" s="16">
        <f t="shared" si="4"/>
        <v>-0.19181014709929967</v>
      </c>
      <c r="W58" s="2"/>
    </row>
    <row r="59" spans="1:23" ht="12" customHeight="1">
      <c r="A59" s="13" t="s">
        <v>71</v>
      </c>
      <c r="B59" s="18">
        <f t="shared" si="7"/>
        <v>0</v>
      </c>
      <c r="C59" s="18">
        <f t="shared" si="7"/>
        <v>0</v>
      </c>
      <c r="D59" s="18">
        <f t="shared" si="7"/>
        <v>0</v>
      </c>
      <c r="E59" s="18">
        <f t="shared" si="7"/>
        <v>0</v>
      </c>
      <c r="F59" s="18">
        <f t="shared" si="7"/>
        <v>0</v>
      </c>
      <c r="G59" s="18">
        <f t="shared" si="7"/>
        <v>6594</v>
      </c>
      <c r="H59" s="18">
        <f t="shared" si="7"/>
        <v>0</v>
      </c>
      <c r="I59" s="18">
        <f t="shared" si="7"/>
        <v>0</v>
      </c>
      <c r="J59" s="18">
        <f t="shared" si="7"/>
        <v>0</v>
      </c>
      <c r="K59" s="18">
        <f t="shared" si="7"/>
        <v>0</v>
      </c>
      <c r="L59" s="18">
        <f t="shared" si="8"/>
        <v>0</v>
      </c>
      <c r="M59" s="18">
        <f t="shared" si="8"/>
        <v>12988838</v>
      </c>
      <c r="N59" s="18">
        <f t="shared" si="8"/>
        <v>0</v>
      </c>
      <c r="O59" s="18">
        <f t="shared" si="8"/>
        <v>133000</v>
      </c>
      <c r="P59" s="18">
        <f t="shared" si="8"/>
        <v>0</v>
      </c>
      <c r="Q59" s="18">
        <f t="shared" si="8"/>
        <v>0</v>
      </c>
      <c r="R59" s="18">
        <f t="shared" si="8"/>
        <v>0</v>
      </c>
      <c r="S59" s="18">
        <f t="shared" si="2"/>
        <v>13128432</v>
      </c>
      <c r="T59" s="18">
        <v>12193800</v>
      </c>
      <c r="U59" s="19">
        <f t="shared" si="3"/>
        <v>934632</v>
      </c>
      <c r="V59" s="16">
        <f t="shared" si="4"/>
        <v>0.07664813265758008</v>
      </c>
      <c r="W59" s="2"/>
    </row>
    <row r="60" spans="1:23" ht="12" customHeight="1">
      <c r="A60" s="13" t="s">
        <v>72</v>
      </c>
      <c r="B60" s="18">
        <f aca="true" t="shared" si="9" ref="B60:Q75">SUMIF($A$97:$A$222,$A$12:$A$90,B$97:B$222)</f>
        <v>0</v>
      </c>
      <c r="C60" s="18">
        <f t="shared" si="9"/>
        <v>0</v>
      </c>
      <c r="D60" s="18">
        <f t="shared" si="9"/>
        <v>0</v>
      </c>
      <c r="E60" s="18">
        <f t="shared" si="9"/>
        <v>0</v>
      </c>
      <c r="F60" s="18">
        <f t="shared" si="9"/>
        <v>0</v>
      </c>
      <c r="G60" s="18">
        <f t="shared" si="9"/>
        <v>0</v>
      </c>
      <c r="H60" s="18">
        <f t="shared" si="9"/>
        <v>0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0</v>
      </c>
      <c r="O60" s="18">
        <f t="shared" si="9"/>
        <v>0</v>
      </c>
      <c r="P60" s="18">
        <f t="shared" si="9"/>
        <v>0</v>
      </c>
      <c r="Q60" s="18">
        <f t="shared" si="9"/>
        <v>0</v>
      </c>
      <c r="R60" s="18">
        <f aca="true" t="shared" si="10" ref="L60:R75">SUMIF($A$97:$A$222,$A$12:$A$90,R$97:R$222)</f>
        <v>6182</v>
      </c>
      <c r="S60" s="18">
        <f t="shared" si="2"/>
        <v>6182</v>
      </c>
      <c r="T60" s="18">
        <v>5730</v>
      </c>
      <c r="U60" s="19">
        <f t="shared" si="3"/>
        <v>452</v>
      </c>
      <c r="V60" s="16">
        <f t="shared" si="4"/>
        <v>0.07888307155322861</v>
      </c>
      <c r="W60" s="2"/>
    </row>
    <row r="61" spans="1:23" ht="12" customHeight="1">
      <c r="A61" s="13" t="s">
        <v>73</v>
      </c>
      <c r="B61" s="18">
        <f t="shared" si="9"/>
        <v>8335</v>
      </c>
      <c r="C61" s="18">
        <f t="shared" si="9"/>
        <v>876</v>
      </c>
      <c r="D61" s="18">
        <f t="shared" si="9"/>
        <v>2842</v>
      </c>
      <c r="E61" s="18">
        <f t="shared" si="9"/>
        <v>680</v>
      </c>
      <c r="F61" s="18">
        <f t="shared" si="9"/>
        <v>2489</v>
      </c>
      <c r="G61" s="18">
        <f t="shared" si="9"/>
        <v>5065</v>
      </c>
      <c r="H61" s="18">
        <f t="shared" si="9"/>
        <v>2828</v>
      </c>
      <c r="I61" s="18">
        <f t="shared" si="9"/>
        <v>42129</v>
      </c>
      <c r="J61" s="18">
        <f t="shared" si="9"/>
        <v>4524</v>
      </c>
      <c r="K61" s="18">
        <f t="shared" si="9"/>
        <v>6967</v>
      </c>
      <c r="L61" s="18">
        <f t="shared" si="10"/>
        <v>74562</v>
      </c>
      <c r="M61" s="18">
        <f t="shared" si="10"/>
        <v>181065</v>
      </c>
      <c r="N61" s="18">
        <f t="shared" si="10"/>
        <v>191839</v>
      </c>
      <c r="O61" s="18">
        <f t="shared" si="10"/>
        <v>21100</v>
      </c>
      <c r="P61" s="18">
        <f t="shared" si="10"/>
        <v>1011</v>
      </c>
      <c r="Q61" s="18">
        <f t="shared" si="10"/>
        <v>1790</v>
      </c>
      <c r="R61" s="18">
        <f t="shared" si="10"/>
        <v>14394</v>
      </c>
      <c r="S61" s="18">
        <f t="shared" si="2"/>
        <v>562496</v>
      </c>
      <c r="T61" s="18">
        <v>538333</v>
      </c>
      <c r="U61" s="19">
        <f t="shared" si="3"/>
        <v>24163</v>
      </c>
      <c r="V61" s="16">
        <f t="shared" si="4"/>
        <v>0.04488485751384366</v>
      </c>
      <c r="W61" s="2"/>
    </row>
    <row r="62" spans="1:23" ht="12" customHeight="1">
      <c r="A62" s="13" t="s">
        <v>74</v>
      </c>
      <c r="B62" s="18">
        <f t="shared" si="9"/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  <c r="H62" s="18">
        <f t="shared" si="9"/>
        <v>0</v>
      </c>
      <c r="I62" s="18">
        <f t="shared" si="9"/>
        <v>0</v>
      </c>
      <c r="J62" s="18">
        <f t="shared" si="9"/>
        <v>0</v>
      </c>
      <c r="K62" s="18">
        <f t="shared" si="9"/>
        <v>2798</v>
      </c>
      <c r="L62" s="18">
        <f t="shared" si="10"/>
        <v>0</v>
      </c>
      <c r="M62" s="18">
        <f t="shared" si="10"/>
        <v>0</v>
      </c>
      <c r="N62" s="18">
        <f t="shared" si="10"/>
        <v>79121</v>
      </c>
      <c r="O62" s="18">
        <f t="shared" si="10"/>
        <v>3937862</v>
      </c>
      <c r="P62" s="18">
        <f t="shared" si="10"/>
        <v>0</v>
      </c>
      <c r="Q62" s="18">
        <f t="shared" si="10"/>
        <v>0</v>
      </c>
      <c r="R62" s="18">
        <f t="shared" si="10"/>
        <v>99216</v>
      </c>
      <c r="S62" s="18">
        <f t="shared" si="2"/>
        <v>4118997</v>
      </c>
      <c r="T62" s="18">
        <v>3063969</v>
      </c>
      <c r="U62" s="19">
        <f t="shared" si="3"/>
        <v>1055028</v>
      </c>
      <c r="V62" s="16">
        <f t="shared" si="4"/>
        <v>0.3443337710009468</v>
      </c>
      <c r="W62" s="2"/>
    </row>
    <row r="63" spans="1:23" ht="12" customHeight="1">
      <c r="A63" s="13" t="s">
        <v>75</v>
      </c>
      <c r="B63" s="18">
        <f t="shared" si="9"/>
        <v>0</v>
      </c>
      <c r="C63" s="18">
        <f t="shared" si="9"/>
        <v>0</v>
      </c>
      <c r="D63" s="18">
        <f t="shared" si="9"/>
        <v>0</v>
      </c>
      <c r="E63" s="18">
        <f t="shared" si="9"/>
        <v>0</v>
      </c>
      <c r="F63" s="18">
        <f t="shared" si="9"/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8">
        <f t="shared" si="9"/>
        <v>0</v>
      </c>
      <c r="L63" s="18">
        <f t="shared" si="10"/>
        <v>0</v>
      </c>
      <c r="M63" s="18">
        <f t="shared" si="10"/>
        <v>0</v>
      </c>
      <c r="N63" s="18">
        <f t="shared" si="10"/>
        <v>0</v>
      </c>
      <c r="O63" s="18">
        <f t="shared" si="10"/>
        <v>1057250</v>
      </c>
      <c r="P63" s="18">
        <f t="shared" si="10"/>
        <v>0</v>
      </c>
      <c r="Q63" s="18">
        <f t="shared" si="10"/>
        <v>0</v>
      </c>
      <c r="R63" s="18">
        <f t="shared" si="10"/>
        <v>0</v>
      </c>
      <c r="S63" s="18">
        <f t="shared" si="2"/>
        <v>1057250</v>
      </c>
      <c r="T63" s="18">
        <v>1085400</v>
      </c>
      <c r="U63" s="19">
        <f t="shared" si="3"/>
        <v>-28150</v>
      </c>
      <c r="V63" s="16">
        <f t="shared" si="4"/>
        <v>-0.02593513911921872</v>
      </c>
      <c r="W63" s="2"/>
    </row>
    <row r="64" spans="1:23" ht="12" customHeight="1">
      <c r="A64" s="13" t="s">
        <v>76</v>
      </c>
      <c r="B64" s="18">
        <f t="shared" si="9"/>
        <v>537</v>
      </c>
      <c r="C64" s="18">
        <f t="shared" si="9"/>
        <v>274</v>
      </c>
      <c r="D64" s="18">
        <f t="shared" si="9"/>
        <v>1099</v>
      </c>
      <c r="E64" s="18">
        <f t="shared" si="9"/>
        <v>443</v>
      </c>
      <c r="F64" s="18">
        <f t="shared" si="9"/>
        <v>192</v>
      </c>
      <c r="G64" s="18">
        <f t="shared" si="9"/>
        <v>752</v>
      </c>
      <c r="H64" s="18">
        <f t="shared" si="9"/>
        <v>19</v>
      </c>
      <c r="I64" s="18">
        <f t="shared" si="9"/>
        <v>537</v>
      </c>
      <c r="J64" s="18">
        <f t="shared" si="9"/>
        <v>140</v>
      </c>
      <c r="K64" s="18">
        <f t="shared" si="9"/>
        <v>332</v>
      </c>
      <c r="L64" s="18">
        <f t="shared" si="10"/>
        <v>0</v>
      </c>
      <c r="M64" s="18">
        <f t="shared" si="10"/>
        <v>1144</v>
      </c>
      <c r="N64" s="18">
        <f t="shared" si="10"/>
        <v>0</v>
      </c>
      <c r="O64" s="18">
        <f t="shared" si="10"/>
        <v>300</v>
      </c>
      <c r="P64" s="18">
        <f t="shared" si="10"/>
        <v>215</v>
      </c>
      <c r="Q64" s="18">
        <f t="shared" si="10"/>
        <v>456</v>
      </c>
      <c r="R64" s="18">
        <f t="shared" si="10"/>
        <v>171</v>
      </c>
      <c r="S64" s="18">
        <f t="shared" si="2"/>
        <v>6611</v>
      </c>
      <c r="T64" s="18">
        <v>5965</v>
      </c>
      <c r="U64" s="19">
        <f t="shared" si="3"/>
        <v>646</v>
      </c>
      <c r="V64" s="16">
        <f t="shared" si="4"/>
        <v>0.10829840737636211</v>
      </c>
      <c r="W64" s="2"/>
    </row>
    <row r="65" spans="1:23" ht="12" customHeight="1">
      <c r="A65" s="13" t="s">
        <v>77</v>
      </c>
      <c r="B65" s="18">
        <f t="shared" si="9"/>
        <v>0</v>
      </c>
      <c r="C65" s="18">
        <f t="shared" si="9"/>
        <v>0</v>
      </c>
      <c r="D65" s="18">
        <f t="shared" si="9"/>
        <v>0</v>
      </c>
      <c r="E65" s="18">
        <f t="shared" si="9"/>
        <v>0</v>
      </c>
      <c r="F65" s="18">
        <f t="shared" si="9"/>
        <v>0</v>
      </c>
      <c r="G65" s="18">
        <f t="shared" si="9"/>
        <v>0</v>
      </c>
      <c r="H65" s="18">
        <f t="shared" si="9"/>
        <v>0</v>
      </c>
      <c r="I65" s="18">
        <f t="shared" si="9"/>
        <v>0</v>
      </c>
      <c r="J65" s="18">
        <f t="shared" si="9"/>
        <v>0</v>
      </c>
      <c r="K65" s="18">
        <f t="shared" si="9"/>
        <v>0</v>
      </c>
      <c r="L65" s="18">
        <f t="shared" si="10"/>
        <v>0</v>
      </c>
      <c r="M65" s="18">
        <f t="shared" si="10"/>
        <v>0</v>
      </c>
      <c r="N65" s="18">
        <f t="shared" si="10"/>
        <v>1969500</v>
      </c>
      <c r="O65" s="18">
        <f t="shared" si="10"/>
        <v>0</v>
      </c>
      <c r="P65" s="18">
        <f t="shared" si="10"/>
        <v>0</v>
      </c>
      <c r="Q65" s="18">
        <f t="shared" si="10"/>
        <v>0</v>
      </c>
      <c r="R65" s="18">
        <f t="shared" si="10"/>
        <v>0</v>
      </c>
      <c r="S65" s="18">
        <f t="shared" si="2"/>
        <v>1969500</v>
      </c>
      <c r="T65" s="18">
        <v>1939500</v>
      </c>
      <c r="U65" s="19">
        <f t="shared" si="3"/>
        <v>30000</v>
      </c>
      <c r="V65" s="16">
        <f t="shared" si="4"/>
        <v>0.015467904098994586</v>
      </c>
      <c r="W65" s="2"/>
    </row>
    <row r="66" spans="1:23" ht="12" customHeight="1">
      <c r="A66" s="13" t="s">
        <v>78</v>
      </c>
      <c r="B66" s="18">
        <f t="shared" si="9"/>
        <v>0</v>
      </c>
      <c r="C66" s="18">
        <f t="shared" si="9"/>
        <v>0</v>
      </c>
      <c r="D66" s="18">
        <f t="shared" si="9"/>
        <v>0</v>
      </c>
      <c r="E66" s="18">
        <f t="shared" si="9"/>
        <v>0</v>
      </c>
      <c r="F66" s="18">
        <f t="shared" si="9"/>
        <v>0</v>
      </c>
      <c r="G66" s="18">
        <f t="shared" si="9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18">
        <f t="shared" si="9"/>
        <v>0</v>
      </c>
      <c r="L66" s="18">
        <f t="shared" si="10"/>
        <v>0</v>
      </c>
      <c r="M66" s="18">
        <f t="shared" si="10"/>
        <v>0</v>
      </c>
      <c r="N66" s="18">
        <f t="shared" si="10"/>
        <v>0</v>
      </c>
      <c r="O66" s="18">
        <f t="shared" si="10"/>
        <v>992000</v>
      </c>
      <c r="P66" s="18">
        <f t="shared" si="10"/>
        <v>0</v>
      </c>
      <c r="Q66" s="18">
        <f t="shared" si="10"/>
        <v>0</v>
      </c>
      <c r="R66" s="18">
        <f t="shared" si="10"/>
        <v>0</v>
      </c>
      <c r="S66" s="18">
        <f t="shared" si="2"/>
        <v>992000</v>
      </c>
      <c r="T66" s="18">
        <v>1162505</v>
      </c>
      <c r="U66" s="19">
        <f t="shared" si="3"/>
        <v>-170505</v>
      </c>
      <c r="V66" s="16">
        <f t="shared" si="4"/>
        <v>-0.14667033690177678</v>
      </c>
      <c r="W66" s="2"/>
    </row>
    <row r="67" spans="1:23" ht="12" customHeight="1">
      <c r="A67" s="13" t="s">
        <v>79</v>
      </c>
      <c r="B67" s="18">
        <f t="shared" si="9"/>
        <v>0</v>
      </c>
      <c r="C67" s="18">
        <f t="shared" si="9"/>
        <v>0</v>
      </c>
      <c r="D67" s="18">
        <f t="shared" si="9"/>
        <v>0</v>
      </c>
      <c r="E67" s="18">
        <f t="shared" si="9"/>
        <v>0</v>
      </c>
      <c r="F67" s="18">
        <f t="shared" si="9"/>
        <v>0</v>
      </c>
      <c r="G67" s="18">
        <f t="shared" si="9"/>
        <v>0</v>
      </c>
      <c r="H67" s="18">
        <f t="shared" si="9"/>
        <v>0</v>
      </c>
      <c r="I67" s="18">
        <f t="shared" si="9"/>
        <v>0</v>
      </c>
      <c r="J67" s="18">
        <f t="shared" si="9"/>
        <v>0</v>
      </c>
      <c r="K67" s="18">
        <f t="shared" si="9"/>
        <v>0</v>
      </c>
      <c r="L67" s="18">
        <f t="shared" si="10"/>
        <v>0</v>
      </c>
      <c r="M67" s="18">
        <f t="shared" si="10"/>
        <v>0</v>
      </c>
      <c r="N67" s="18">
        <f t="shared" si="10"/>
        <v>0</v>
      </c>
      <c r="O67" s="18">
        <f t="shared" si="10"/>
        <v>767590</v>
      </c>
      <c r="P67" s="18">
        <f t="shared" si="10"/>
        <v>0</v>
      </c>
      <c r="Q67" s="18">
        <f t="shared" si="10"/>
        <v>0</v>
      </c>
      <c r="R67" s="18">
        <f t="shared" si="10"/>
        <v>0</v>
      </c>
      <c r="S67" s="18">
        <f t="shared" si="2"/>
        <v>767590</v>
      </c>
      <c r="T67" s="18">
        <v>600000</v>
      </c>
      <c r="U67" s="19">
        <f t="shared" si="3"/>
        <v>167590</v>
      </c>
      <c r="V67" s="16">
        <f t="shared" si="4"/>
        <v>0.27931666666666666</v>
      </c>
      <c r="W67" s="2"/>
    </row>
    <row r="68" spans="1:23" ht="12" customHeight="1">
      <c r="A68" s="13" t="s">
        <v>80</v>
      </c>
      <c r="B68" s="18">
        <f t="shared" si="9"/>
        <v>0</v>
      </c>
      <c r="C68" s="18">
        <f t="shared" si="9"/>
        <v>0</v>
      </c>
      <c r="D68" s="18">
        <f t="shared" si="9"/>
        <v>0</v>
      </c>
      <c r="E68" s="18">
        <f t="shared" si="9"/>
        <v>0</v>
      </c>
      <c r="F68" s="18">
        <f t="shared" si="9"/>
        <v>0</v>
      </c>
      <c r="G68" s="18">
        <f t="shared" si="9"/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 t="shared" si="9"/>
        <v>0</v>
      </c>
      <c r="L68" s="18">
        <f t="shared" si="10"/>
        <v>0</v>
      </c>
      <c r="M68" s="18">
        <f t="shared" si="10"/>
        <v>0</v>
      </c>
      <c r="N68" s="18">
        <f t="shared" si="10"/>
        <v>0</v>
      </c>
      <c r="O68" s="18">
        <f t="shared" si="10"/>
        <v>70600</v>
      </c>
      <c r="P68" s="18">
        <f t="shared" si="10"/>
        <v>0</v>
      </c>
      <c r="Q68" s="18">
        <f t="shared" si="10"/>
        <v>0</v>
      </c>
      <c r="R68" s="18">
        <f t="shared" si="10"/>
        <v>0</v>
      </c>
      <c r="S68" s="18">
        <f t="shared" si="2"/>
        <v>70600</v>
      </c>
      <c r="T68" s="18">
        <v>70600</v>
      </c>
      <c r="U68" s="19">
        <f t="shared" si="3"/>
        <v>0</v>
      </c>
      <c r="V68" s="16">
        <f t="shared" si="4"/>
        <v>0</v>
      </c>
      <c r="W68" s="2"/>
    </row>
    <row r="69" spans="1:23" ht="12" customHeight="1">
      <c r="A69" s="13" t="s">
        <v>81</v>
      </c>
      <c r="B69" s="18">
        <f t="shared" si="9"/>
        <v>0</v>
      </c>
      <c r="C69" s="18">
        <f t="shared" si="9"/>
        <v>0</v>
      </c>
      <c r="D69" s="18">
        <f t="shared" si="9"/>
        <v>0</v>
      </c>
      <c r="E69" s="18">
        <f t="shared" si="9"/>
        <v>0</v>
      </c>
      <c r="F69" s="18">
        <f t="shared" si="9"/>
        <v>0</v>
      </c>
      <c r="G69" s="18">
        <f t="shared" si="9"/>
        <v>0</v>
      </c>
      <c r="H69" s="18">
        <f t="shared" si="9"/>
        <v>0</v>
      </c>
      <c r="I69" s="18">
        <f t="shared" si="9"/>
        <v>0</v>
      </c>
      <c r="J69" s="18">
        <f t="shared" si="9"/>
        <v>0</v>
      </c>
      <c r="K69" s="18">
        <f t="shared" si="9"/>
        <v>0</v>
      </c>
      <c r="L69" s="18">
        <f t="shared" si="10"/>
        <v>0</v>
      </c>
      <c r="M69" s="18">
        <f t="shared" si="10"/>
        <v>0</v>
      </c>
      <c r="N69" s="18">
        <f t="shared" si="10"/>
        <v>0</v>
      </c>
      <c r="O69" s="18">
        <f t="shared" si="10"/>
        <v>2546756</v>
      </c>
      <c r="P69" s="18">
        <f t="shared" si="10"/>
        <v>0</v>
      </c>
      <c r="Q69" s="18">
        <f t="shared" si="10"/>
        <v>0</v>
      </c>
      <c r="R69" s="18">
        <f t="shared" si="10"/>
        <v>0</v>
      </c>
      <c r="S69" s="18">
        <f t="shared" si="2"/>
        <v>2546756</v>
      </c>
      <c r="T69" s="18">
        <v>2200000</v>
      </c>
      <c r="U69" s="19">
        <f t="shared" si="3"/>
        <v>346756</v>
      </c>
      <c r="V69" s="16">
        <f t="shared" si="4"/>
        <v>0.15761636363636364</v>
      </c>
      <c r="W69" s="2"/>
    </row>
    <row r="70" spans="1:23" ht="12" customHeight="1">
      <c r="A70" s="13" t="s">
        <v>82</v>
      </c>
      <c r="B70" s="18">
        <f t="shared" si="9"/>
        <v>0</v>
      </c>
      <c r="C70" s="18">
        <f t="shared" si="9"/>
        <v>0</v>
      </c>
      <c r="D70" s="18">
        <f t="shared" si="9"/>
        <v>0</v>
      </c>
      <c r="E70" s="18">
        <f t="shared" si="9"/>
        <v>0</v>
      </c>
      <c r="F70" s="18">
        <f t="shared" si="9"/>
        <v>0</v>
      </c>
      <c r="G70" s="18">
        <f t="shared" si="9"/>
        <v>0</v>
      </c>
      <c r="H70" s="18">
        <f t="shared" si="9"/>
        <v>1600</v>
      </c>
      <c r="I70" s="18">
        <f t="shared" si="9"/>
        <v>0</v>
      </c>
      <c r="J70" s="18">
        <f t="shared" si="9"/>
        <v>0</v>
      </c>
      <c r="K70" s="18">
        <f t="shared" si="9"/>
        <v>0</v>
      </c>
      <c r="L70" s="18">
        <f t="shared" si="10"/>
        <v>0</v>
      </c>
      <c r="M70" s="18">
        <f t="shared" si="10"/>
        <v>0</v>
      </c>
      <c r="N70" s="18">
        <f t="shared" si="10"/>
        <v>0</v>
      </c>
      <c r="O70" s="18">
        <f t="shared" si="10"/>
        <v>0</v>
      </c>
      <c r="P70" s="18">
        <f t="shared" si="10"/>
        <v>0</v>
      </c>
      <c r="Q70" s="18">
        <f t="shared" si="10"/>
        <v>0</v>
      </c>
      <c r="R70" s="18">
        <f t="shared" si="10"/>
        <v>0</v>
      </c>
      <c r="S70" s="18">
        <f t="shared" si="2"/>
        <v>1600</v>
      </c>
      <c r="T70" s="18">
        <v>1430</v>
      </c>
      <c r="U70" s="19">
        <f t="shared" si="3"/>
        <v>170</v>
      </c>
      <c r="V70" s="16">
        <f t="shared" si="4"/>
        <v>0.11888111888111888</v>
      </c>
      <c r="W70" s="2"/>
    </row>
    <row r="71" spans="1:23" ht="12" customHeight="1">
      <c r="A71" s="13" t="s">
        <v>83</v>
      </c>
      <c r="B71" s="18">
        <f t="shared" si="9"/>
        <v>0</v>
      </c>
      <c r="C71" s="18">
        <f t="shared" si="9"/>
        <v>0</v>
      </c>
      <c r="D71" s="18">
        <f t="shared" si="9"/>
        <v>0</v>
      </c>
      <c r="E71" s="18">
        <f t="shared" si="9"/>
        <v>0</v>
      </c>
      <c r="F71" s="18">
        <f t="shared" si="9"/>
        <v>0</v>
      </c>
      <c r="G71" s="18">
        <f t="shared" si="9"/>
        <v>0</v>
      </c>
      <c r="H71" s="18">
        <f t="shared" si="9"/>
        <v>0</v>
      </c>
      <c r="I71" s="18">
        <f t="shared" si="9"/>
        <v>0</v>
      </c>
      <c r="J71" s="18">
        <f t="shared" si="9"/>
        <v>0</v>
      </c>
      <c r="K71" s="18">
        <f t="shared" si="9"/>
        <v>0</v>
      </c>
      <c r="L71" s="18">
        <f t="shared" si="10"/>
        <v>0</v>
      </c>
      <c r="M71" s="18">
        <f t="shared" si="10"/>
        <v>11953179</v>
      </c>
      <c r="N71" s="18">
        <f t="shared" si="10"/>
        <v>0</v>
      </c>
      <c r="O71" s="18">
        <f t="shared" si="10"/>
        <v>0</v>
      </c>
      <c r="P71" s="18">
        <f t="shared" si="10"/>
        <v>0</v>
      </c>
      <c r="Q71" s="18">
        <f t="shared" si="10"/>
        <v>0</v>
      </c>
      <c r="R71" s="18">
        <f t="shared" si="10"/>
        <v>0</v>
      </c>
      <c r="S71" s="18">
        <f t="shared" si="2"/>
        <v>11953179</v>
      </c>
      <c r="T71" s="18">
        <v>10620815</v>
      </c>
      <c r="U71" s="19">
        <f t="shared" si="3"/>
        <v>1332364</v>
      </c>
      <c r="V71" s="16">
        <f t="shared" si="4"/>
        <v>0.12544837660763322</v>
      </c>
      <c r="W71" s="2"/>
    </row>
    <row r="72" spans="1:23" ht="12" customHeight="1">
      <c r="A72" s="13" t="s">
        <v>84</v>
      </c>
      <c r="B72" s="18">
        <f t="shared" si="9"/>
        <v>0</v>
      </c>
      <c r="C72" s="18">
        <f t="shared" si="9"/>
        <v>0</v>
      </c>
      <c r="D72" s="18">
        <f t="shared" si="9"/>
        <v>0</v>
      </c>
      <c r="E72" s="18">
        <f t="shared" si="9"/>
        <v>0</v>
      </c>
      <c r="F72" s="18">
        <f t="shared" si="9"/>
        <v>0</v>
      </c>
      <c r="G72" s="18">
        <f t="shared" si="9"/>
        <v>0</v>
      </c>
      <c r="H72" s="18">
        <f t="shared" si="9"/>
        <v>0</v>
      </c>
      <c r="I72" s="18">
        <f t="shared" si="9"/>
        <v>0</v>
      </c>
      <c r="J72" s="18">
        <f t="shared" si="9"/>
        <v>0</v>
      </c>
      <c r="K72" s="18">
        <f t="shared" si="9"/>
        <v>0</v>
      </c>
      <c r="L72" s="18">
        <f t="shared" si="10"/>
        <v>0</v>
      </c>
      <c r="M72" s="18">
        <f t="shared" si="10"/>
        <v>0</v>
      </c>
      <c r="N72" s="18">
        <f t="shared" si="10"/>
        <v>0</v>
      </c>
      <c r="O72" s="18">
        <f t="shared" si="10"/>
        <v>151525</v>
      </c>
      <c r="P72" s="18">
        <f t="shared" si="10"/>
        <v>0</v>
      </c>
      <c r="Q72" s="18">
        <f t="shared" si="10"/>
        <v>0</v>
      </c>
      <c r="R72" s="18">
        <f t="shared" si="10"/>
        <v>75000</v>
      </c>
      <c r="S72" s="18">
        <f t="shared" si="2"/>
        <v>226525</v>
      </c>
      <c r="T72" s="18">
        <v>235509</v>
      </c>
      <c r="U72" s="19">
        <f t="shared" si="3"/>
        <v>-8984</v>
      </c>
      <c r="V72" s="16">
        <f t="shared" si="4"/>
        <v>-0.038147162104208335</v>
      </c>
      <c r="W72" s="2"/>
    </row>
    <row r="73" spans="1:23" ht="12" customHeight="1">
      <c r="A73" s="13" t="s">
        <v>85</v>
      </c>
      <c r="B73" s="18">
        <f t="shared" si="9"/>
        <v>0</v>
      </c>
      <c r="C73" s="18">
        <f t="shared" si="9"/>
        <v>0</v>
      </c>
      <c r="D73" s="18">
        <f t="shared" si="9"/>
        <v>0</v>
      </c>
      <c r="E73" s="18">
        <f t="shared" si="9"/>
        <v>0</v>
      </c>
      <c r="F73" s="18">
        <f t="shared" si="9"/>
        <v>0</v>
      </c>
      <c r="G73" s="18">
        <f t="shared" si="9"/>
        <v>0</v>
      </c>
      <c r="H73" s="18">
        <f t="shared" si="9"/>
        <v>0</v>
      </c>
      <c r="I73" s="18">
        <f t="shared" si="9"/>
        <v>0</v>
      </c>
      <c r="J73" s="18">
        <f t="shared" si="9"/>
        <v>0</v>
      </c>
      <c r="K73" s="18">
        <f t="shared" si="9"/>
        <v>0</v>
      </c>
      <c r="L73" s="18">
        <f t="shared" si="10"/>
        <v>0</v>
      </c>
      <c r="M73" s="18">
        <f t="shared" si="10"/>
        <v>0</v>
      </c>
      <c r="N73" s="18">
        <f t="shared" si="10"/>
        <v>0</v>
      </c>
      <c r="O73" s="18">
        <f t="shared" si="10"/>
        <v>943789</v>
      </c>
      <c r="P73" s="18">
        <f t="shared" si="10"/>
        <v>0</v>
      </c>
      <c r="Q73" s="18">
        <f t="shared" si="10"/>
        <v>0</v>
      </c>
      <c r="R73" s="18">
        <f t="shared" si="10"/>
        <v>0</v>
      </c>
      <c r="S73" s="18">
        <f t="shared" si="2"/>
        <v>943789</v>
      </c>
      <c r="T73" s="18">
        <v>544100</v>
      </c>
      <c r="U73" s="19">
        <f t="shared" si="3"/>
        <v>399689</v>
      </c>
      <c r="V73" s="16">
        <f t="shared" si="4"/>
        <v>0.7345873920235251</v>
      </c>
      <c r="W73" s="2"/>
    </row>
    <row r="74" spans="1:23" ht="12" customHeight="1">
      <c r="A74" s="13" t="s">
        <v>86</v>
      </c>
      <c r="B74" s="18">
        <f t="shared" si="9"/>
        <v>0</v>
      </c>
      <c r="C74" s="18">
        <f t="shared" si="9"/>
        <v>0</v>
      </c>
      <c r="D74" s="18">
        <f t="shared" si="9"/>
        <v>0</v>
      </c>
      <c r="E74" s="18">
        <f t="shared" si="9"/>
        <v>0</v>
      </c>
      <c r="F74" s="18">
        <f t="shared" si="9"/>
        <v>0</v>
      </c>
      <c r="G74" s="18">
        <f t="shared" si="9"/>
        <v>0</v>
      </c>
      <c r="H74" s="18">
        <f t="shared" si="9"/>
        <v>0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10"/>
        <v>0</v>
      </c>
      <c r="M74" s="18">
        <f t="shared" si="10"/>
        <v>0</v>
      </c>
      <c r="N74" s="18">
        <f t="shared" si="10"/>
        <v>0</v>
      </c>
      <c r="O74" s="18">
        <f t="shared" si="10"/>
        <v>2098293</v>
      </c>
      <c r="P74" s="18">
        <f t="shared" si="10"/>
        <v>0</v>
      </c>
      <c r="Q74" s="18">
        <f t="shared" si="10"/>
        <v>0</v>
      </c>
      <c r="R74" s="18">
        <f t="shared" si="10"/>
        <v>0</v>
      </c>
      <c r="S74" s="18">
        <f t="shared" si="2"/>
        <v>2098293</v>
      </c>
      <c r="T74" s="18">
        <v>1367046</v>
      </c>
      <c r="U74" s="19">
        <f t="shared" si="3"/>
        <v>731247</v>
      </c>
      <c r="V74" s="16">
        <f t="shared" si="4"/>
        <v>0.5349103102602253</v>
      </c>
      <c r="W74" s="2"/>
    </row>
    <row r="75" spans="1:23" ht="12" customHeight="1">
      <c r="A75" s="13" t="s">
        <v>87</v>
      </c>
      <c r="B75" s="18">
        <f t="shared" si="9"/>
        <v>0</v>
      </c>
      <c r="C75" s="18">
        <f t="shared" si="9"/>
        <v>0</v>
      </c>
      <c r="D75" s="18">
        <f t="shared" si="9"/>
        <v>0</v>
      </c>
      <c r="E75" s="18">
        <f t="shared" si="9"/>
        <v>0</v>
      </c>
      <c r="F75" s="18">
        <f t="shared" si="9"/>
        <v>0</v>
      </c>
      <c r="G75" s="18">
        <f t="shared" si="9"/>
        <v>0</v>
      </c>
      <c r="H75" s="18">
        <f t="shared" si="9"/>
        <v>0</v>
      </c>
      <c r="I75" s="18">
        <f t="shared" si="9"/>
        <v>0</v>
      </c>
      <c r="J75" s="18">
        <f t="shared" si="9"/>
        <v>0</v>
      </c>
      <c r="K75" s="18">
        <f t="shared" si="9"/>
        <v>0</v>
      </c>
      <c r="L75" s="18">
        <f t="shared" si="10"/>
        <v>0</v>
      </c>
      <c r="M75" s="18">
        <f t="shared" si="10"/>
        <v>0</v>
      </c>
      <c r="N75" s="18">
        <f t="shared" si="10"/>
        <v>23335000</v>
      </c>
      <c r="O75" s="18">
        <f t="shared" si="10"/>
        <v>0</v>
      </c>
      <c r="P75" s="18">
        <f t="shared" si="10"/>
        <v>0</v>
      </c>
      <c r="Q75" s="18">
        <f t="shared" si="10"/>
        <v>0</v>
      </c>
      <c r="R75" s="18">
        <f t="shared" si="10"/>
        <v>20000</v>
      </c>
      <c r="S75" s="18">
        <f t="shared" si="2"/>
        <v>23355000</v>
      </c>
      <c r="T75" s="18">
        <v>9372000</v>
      </c>
      <c r="U75" s="19">
        <f t="shared" si="3"/>
        <v>13983000</v>
      </c>
      <c r="V75" s="16">
        <f t="shared" si="4"/>
        <v>1.4919974391805377</v>
      </c>
      <c r="W75" s="2"/>
    </row>
    <row r="76" spans="1:23" ht="12" customHeight="1">
      <c r="A76" s="13" t="s">
        <v>88</v>
      </c>
      <c r="B76" s="18">
        <f aca="true" t="shared" si="11" ref="B76:Q90">SUMIF($A$97:$A$222,$A$12:$A$90,B$97:B$222)</f>
        <v>0</v>
      </c>
      <c r="C76" s="18">
        <f t="shared" si="11"/>
        <v>0</v>
      </c>
      <c r="D76" s="18">
        <f t="shared" si="11"/>
        <v>0</v>
      </c>
      <c r="E76" s="18">
        <f t="shared" si="11"/>
        <v>0</v>
      </c>
      <c r="F76" s="18">
        <f t="shared" si="11"/>
        <v>0</v>
      </c>
      <c r="G76" s="18">
        <f t="shared" si="11"/>
        <v>0</v>
      </c>
      <c r="H76" s="18">
        <f t="shared" si="11"/>
        <v>0</v>
      </c>
      <c r="I76" s="18">
        <f t="shared" si="11"/>
        <v>0</v>
      </c>
      <c r="J76" s="18">
        <f t="shared" si="11"/>
        <v>0</v>
      </c>
      <c r="K76" s="18">
        <f t="shared" si="11"/>
        <v>0</v>
      </c>
      <c r="L76" s="18">
        <f t="shared" si="11"/>
        <v>0</v>
      </c>
      <c r="M76" s="18">
        <f t="shared" si="11"/>
        <v>0</v>
      </c>
      <c r="N76" s="18">
        <f t="shared" si="11"/>
        <v>44786827</v>
      </c>
      <c r="O76" s="18">
        <f t="shared" si="11"/>
        <v>0</v>
      </c>
      <c r="P76" s="18">
        <f t="shared" si="11"/>
        <v>0</v>
      </c>
      <c r="Q76" s="18">
        <f t="shared" si="11"/>
        <v>0</v>
      </c>
      <c r="R76" s="18">
        <f aca="true" t="shared" si="12" ref="L76:R90">SUMIF($A$97:$A$222,$A$12:$A$90,R$97:R$222)</f>
        <v>0</v>
      </c>
      <c r="S76" s="18">
        <f aca="true" t="shared" si="13" ref="S76:S90">SUM(B76:R76)</f>
        <v>44786827</v>
      </c>
      <c r="T76" s="18">
        <v>32220814</v>
      </c>
      <c r="U76" s="19">
        <f t="shared" si="3"/>
        <v>12566013</v>
      </c>
      <c r="V76" s="16">
        <f t="shared" si="4"/>
        <v>0.3899967579962443</v>
      </c>
      <c r="W76" s="2"/>
    </row>
    <row r="77" spans="1:23" ht="12" customHeight="1">
      <c r="A77" s="13" t="s">
        <v>89</v>
      </c>
      <c r="B77" s="18">
        <f t="shared" si="11"/>
        <v>0</v>
      </c>
      <c r="C77" s="18">
        <f t="shared" si="11"/>
        <v>0</v>
      </c>
      <c r="D77" s="18">
        <f t="shared" si="11"/>
        <v>0</v>
      </c>
      <c r="E77" s="18">
        <f t="shared" si="11"/>
        <v>0</v>
      </c>
      <c r="F77" s="18">
        <f t="shared" si="11"/>
        <v>0</v>
      </c>
      <c r="G77" s="18">
        <f t="shared" si="11"/>
        <v>0</v>
      </c>
      <c r="H77" s="18">
        <f t="shared" si="11"/>
        <v>0</v>
      </c>
      <c r="I77" s="18">
        <f t="shared" si="11"/>
        <v>0</v>
      </c>
      <c r="J77" s="18">
        <f t="shared" si="11"/>
        <v>0</v>
      </c>
      <c r="K77" s="18">
        <f t="shared" si="11"/>
        <v>1979</v>
      </c>
      <c r="L77" s="18">
        <f t="shared" si="12"/>
        <v>0</v>
      </c>
      <c r="M77" s="18">
        <f t="shared" si="12"/>
        <v>28257</v>
      </c>
      <c r="N77" s="18">
        <f t="shared" si="12"/>
        <v>0</v>
      </c>
      <c r="O77" s="18">
        <f t="shared" si="12"/>
        <v>189600</v>
      </c>
      <c r="P77" s="18">
        <f t="shared" si="12"/>
        <v>0</v>
      </c>
      <c r="Q77" s="18">
        <f t="shared" si="12"/>
        <v>0</v>
      </c>
      <c r="R77" s="18">
        <f t="shared" si="12"/>
        <v>87054</v>
      </c>
      <c r="S77" s="18">
        <f t="shared" si="13"/>
        <v>306890</v>
      </c>
      <c r="T77" s="18">
        <v>268553</v>
      </c>
      <c r="U77" s="19">
        <f t="shared" si="3"/>
        <v>38337</v>
      </c>
      <c r="V77" s="16">
        <f t="shared" si="4"/>
        <v>0.14275394428660265</v>
      </c>
      <c r="W77" s="2"/>
    </row>
    <row r="78" spans="1:23" ht="12" customHeight="1">
      <c r="A78" s="13" t="s">
        <v>90</v>
      </c>
      <c r="B78" s="18">
        <f t="shared" si="11"/>
        <v>0</v>
      </c>
      <c r="C78" s="18">
        <f t="shared" si="11"/>
        <v>0</v>
      </c>
      <c r="D78" s="18">
        <f t="shared" si="11"/>
        <v>0</v>
      </c>
      <c r="E78" s="18">
        <f t="shared" si="11"/>
        <v>0</v>
      </c>
      <c r="F78" s="18">
        <f t="shared" si="11"/>
        <v>0</v>
      </c>
      <c r="G78" s="18">
        <f t="shared" si="11"/>
        <v>0</v>
      </c>
      <c r="H78" s="18">
        <f t="shared" si="11"/>
        <v>0</v>
      </c>
      <c r="I78" s="18">
        <f t="shared" si="11"/>
        <v>0</v>
      </c>
      <c r="J78" s="18">
        <f t="shared" si="11"/>
        <v>0</v>
      </c>
      <c r="K78" s="18">
        <f t="shared" si="11"/>
        <v>0</v>
      </c>
      <c r="L78" s="18">
        <f t="shared" si="12"/>
        <v>0</v>
      </c>
      <c r="M78" s="18">
        <f t="shared" si="12"/>
        <v>0</v>
      </c>
      <c r="N78" s="18">
        <f t="shared" si="12"/>
        <v>0</v>
      </c>
      <c r="O78" s="18">
        <f t="shared" si="12"/>
        <v>5280000</v>
      </c>
      <c r="P78" s="18">
        <f t="shared" si="12"/>
        <v>0</v>
      </c>
      <c r="Q78" s="18">
        <f t="shared" si="12"/>
        <v>0</v>
      </c>
      <c r="R78" s="18">
        <f t="shared" si="12"/>
        <v>0</v>
      </c>
      <c r="S78" s="18">
        <f t="shared" si="13"/>
        <v>5280000</v>
      </c>
      <c r="T78" s="18">
        <v>4675000</v>
      </c>
      <c r="U78" s="19">
        <f aca="true" t="shared" si="14" ref="U78:U90">S78-T78</f>
        <v>605000</v>
      </c>
      <c r="V78" s="16">
        <f aca="true" t="shared" si="15" ref="V78:V90">IF(T78=0,100%,U78/T78)</f>
        <v>0.12941176470588237</v>
      </c>
      <c r="W78" s="2"/>
    </row>
    <row r="79" spans="1:23" ht="12" customHeight="1">
      <c r="A79" s="13" t="s">
        <v>91</v>
      </c>
      <c r="B79" s="18">
        <f t="shared" si="11"/>
        <v>0</v>
      </c>
      <c r="C79" s="18">
        <f t="shared" si="11"/>
        <v>0</v>
      </c>
      <c r="D79" s="18">
        <f t="shared" si="11"/>
        <v>0</v>
      </c>
      <c r="E79" s="18">
        <f t="shared" si="11"/>
        <v>0</v>
      </c>
      <c r="F79" s="18">
        <f t="shared" si="11"/>
        <v>0</v>
      </c>
      <c r="G79" s="18">
        <f t="shared" si="11"/>
        <v>0</v>
      </c>
      <c r="H79" s="18">
        <f t="shared" si="11"/>
        <v>0</v>
      </c>
      <c r="I79" s="18">
        <f t="shared" si="11"/>
        <v>0</v>
      </c>
      <c r="J79" s="18">
        <f t="shared" si="11"/>
        <v>0</v>
      </c>
      <c r="K79" s="18">
        <f t="shared" si="11"/>
        <v>0</v>
      </c>
      <c r="L79" s="18">
        <f t="shared" si="12"/>
        <v>0</v>
      </c>
      <c r="M79" s="18">
        <f t="shared" si="12"/>
        <v>0</v>
      </c>
      <c r="N79" s="18">
        <f t="shared" si="12"/>
        <v>6276896</v>
      </c>
      <c r="O79" s="18">
        <f t="shared" si="12"/>
        <v>200000</v>
      </c>
      <c r="P79" s="18">
        <f t="shared" si="12"/>
        <v>0</v>
      </c>
      <c r="Q79" s="18">
        <f t="shared" si="12"/>
        <v>27480250</v>
      </c>
      <c r="R79" s="18">
        <f t="shared" si="12"/>
        <v>2400000</v>
      </c>
      <c r="S79" s="18">
        <f t="shared" si="13"/>
        <v>36357146</v>
      </c>
      <c r="T79" s="18">
        <v>38612800</v>
      </c>
      <c r="U79" s="19">
        <f t="shared" si="14"/>
        <v>-2255654</v>
      </c>
      <c r="V79" s="16">
        <f t="shared" si="15"/>
        <v>-0.058417260597522065</v>
      </c>
      <c r="W79" s="2"/>
    </row>
    <row r="80" spans="1:23" ht="12" customHeight="1">
      <c r="A80" s="13" t="s">
        <v>92</v>
      </c>
      <c r="B80" s="18">
        <f t="shared" si="11"/>
        <v>0</v>
      </c>
      <c r="C80" s="18">
        <f t="shared" si="11"/>
        <v>0</v>
      </c>
      <c r="D80" s="18">
        <f t="shared" si="11"/>
        <v>0</v>
      </c>
      <c r="E80" s="18">
        <f t="shared" si="11"/>
        <v>0</v>
      </c>
      <c r="F80" s="18">
        <f t="shared" si="11"/>
        <v>0</v>
      </c>
      <c r="G80" s="18">
        <f t="shared" si="11"/>
        <v>0</v>
      </c>
      <c r="H80" s="18">
        <f t="shared" si="11"/>
        <v>0</v>
      </c>
      <c r="I80" s="18">
        <f t="shared" si="11"/>
        <v>0</v>
      </c>
      <c r="J80" s="18">
        <f t="shared" si="11"/>
        <v>0</v>
      </c>
      <c r="K80" s="18">
        <f t="shared" si="11"/>
        <v>0</v>
      </c>
      <c r="L80" s="18">
        <f t="shared" si="12"/>
        <v>0</v>
      </c>
      <c r="M80" s="18">
        <f t="shared" si="12"/>
        <v>0</v>
      </c>
      <c r="N80" s="18">
        <f t="shared" si="12"/>
        <v>3700000</v>
      </c>
      <c r="O80" s="18">
        <f t="shared" si="12"/>
        <v>0</v>
      </c>
      <c r="P80" s="18">
        <f t="shared" si="12"/>
        <v>0</v>
      </c>
      <c r="Q80" s="18">
        <f t="shared" si="12"/>
        <v>0</v>
      </c>
      <c r="R80" s="18">
        <f t="shared" si="12"/>
        <v>100000</v>
      </c>
      <c r="S80" s="18">
        <f t="shared" si="13"/>
        <v>3800000</v>
      </c>
      <c r="T80" s="18">
        <v>4400000</v>
      </c>
      <c r="U80" s="19">
        <f t="shared" si="14"/>
        <v>-600000</v>
      </c>
      <c r="V80" s="16">
        <f t="shared" si="15"/>
        <v>-0.13636363636363635</v>
      </c>
      <c r="W80" s="2"/>
    </row>
    <row r="81" spans="1:23" ht="12" customHeight="1">
      <c r="A81" s="13" t="s">
        <v>93</v>
      </c>
      <c r="B81" s="18">
        <f t="shared" si="11"/>
        <v>0</v>
      </c>
      <c r="C81" s="18">
        <f t="shared" si="11"/>
        <v>0</v>
      </c>
      <c r="D81" s="18">
        <f t="shared" si="11"/>
        <v>0</v>
      </c>
      <c r="E81" s="18">
        <f t="shared" si="11"/>
        <v>0</v>
      </c>
      <c r="F81" s="18">
        <f t="shared" si="11"/>
        <v>0</v>
      </c>
      <c r="G81" s="18">
        <f t="shared" si="11"/>
        <v>0</v>
      </c>
      <c r="H81" s="18">
        <f t="shared" si="11"/>
        <v>0</v>
      </c>
      <c r="I81" s="18">
        <f t="shared" si="11"/>
        <v>0</v>
      </c>
      <c r="J81" s="18">
        <f t="shared" si="11"/>
        <v>0</v>
      </c>
      <c r="K81" s="18">
        <f t="shared" si="11"/>
        <v>0</v>
      </c>
      <c r="L81" s="18">
        <f t="shared" si="12"/>
        <v>0</v>
      </c>
      <c r="M81" s="18">
        <f t="shared" si="12"/>
        <v>899691</v>
      </c>
      <c r="N81" s="18">
        <f t="shared" si="12"/>
        <v>0</v>
      </c>
      <c r="O81" s="18">
        <f t="shared" si="12"/>
        <v>0</v>
      </c>
      <c r="P81" s="18">
        <f t="shared" si="12"/>
        <v>0</v>
      </c>
      <c r="Q81" s="18">
        <f t="shared" si="12"/>
        <v>0</v>
      </c>
      <c r="R81" s="18">
        <f t="shared" si="12"/>
        <v>0</v>
      </c>
      <c r="S81" s="18">
        <f t="shared" si="13"/>
        <v>899691</v>
      </c>
      <c r="T81" s="18">
        <v>944137</v>
      </c>
      <c r="U81" s="19">
        <f t="shared" si="14"/>
        <v>-44446</v>
      </c>
      <c r="V81" s="16">
        <f t="shared" si="15"/>
        <v>-0.04707579514413692</v>
      </c>
      <c r="W81" s="2"/>
    </row>
    <row r="82" spans="1:23" ht="12" customHeight="1">
      <c r="A82" s="13" t="s">
        <v>94</v>
      </c>
      <c r="B82" s="18">
        <f t="shared" si="11"/>
        <v>0</v>
      </c>
      <c r="C82" s="18">
        <f t="shared" si="11"/>
        <v>0</v>
      </c>
      <c r="D82" s="18">
        <f t="shared" si="11"/>
        <v>0</v>
      </c>
      <c r="E82" s="18">
        <f t="shared" si="11"/>
        <v>0</v>
      </c>
      <c r="F82" s="18">
        <f t="shared" si="11"/>
        <v>0</v>
      </c>
      <c r="G82" s="18">
        <f t="shared" si="11"/>
        <v>0</v>
      </c>
      <c r="H82" s="18">
        <f t="shared" si="11"/>
        <v>0</v>
      </c>
      <c r="I82" s="18">
        <f t="shared" si="11"/>
        <v>0</v>
      </c>
      <c r="J82" s="18">
        <f t="shared" si="11"/>
        <v>0</v>
      </c>
      <c r="K82" s="18">
        <f t="shared" si="11"/>
        <v>0</v>
      </c>
      <c r="L82" s="18">
        <f t="shared" si="12"/>
        <v>0</v>
      </c>
      <c r="M82" s="18">
        <f t="shared" si="12"/>
        <v>22693672</v>
      </c>
      <c r="N82" s="18">
        <f t="shared" si="12"/>
        <v>0</v>
      </c>
      <c r="O82" s="18">
        <f t="shared" si="12"/>
        <v>0</v>
      </c>
      <c r="P82" s="18">
        <f t="shared" si="12"/>
        <v>0</v>
      </c>
      <c r="Q82" s="18">
        <f t="shared" si="12"/>
        <v>0</v>
      </c>
      <c r="R82" s="18">
        <f t="shared" si="12"/>
        <v>0</v>
      </c>
      <c r="S82" s="18">
        <f t="shared" si="13"/>
        <v>22693672</v>
      </c>
      <c r="T82" s="18">
        <v>19150762</v>
      </c>
      <c r="U82" s="19">
        <f t="shared" si="14"/>
        <v>3542910</v>
      </c>
      <c r="V82" s="16">
        <f t="shared" si="15"/>
        <v>0.18500099369414125</v>
      </c>
      <c r="W82" s="2"/>
    </row>
    <row r="83" spans="1:23" ht="12" customHeight="1">
      <c r="A83" s="13" t="s">
        <v>95</v>
      </c>
      <c r="B83" s="18">
        <f t="shared" si="11"/>
        <v>0</v>
      </c>
      <c r="C83" s="18">
        <f t="shared" si="11"/>
        <v>0</v>
      </c>
      <c r="D83" s="18">
        <f t="shared" si="11"/>
        <v>0</v>
      </c>
      <c r="E83" s="18">
        <f t="shared" si="11"/>
        <v>0</v>
      </c>
      <c r="F83" s="18">
        <f t="shared" si="11"/>
        <v>0</v>
      </c>
      <c r="G83" s="18">
        <f t="shared" si="11"/>
        <v>0</v>
      </c>
      <c r="H83" s="18">
        <f t="shared" si="11"/>
        <v>0</v>
      </c>
      <c r="I83" s="18">
        <f t="shared" si="11"/>
        <v>0</v>
      </c>
      <c r="J83" s="18">
        <f t="shared" si="11"/>
        <v>0</v>
      </c>
      <c r="K83" s="18">
        <f t="shared" si="11"/>
        <v>0</v>
      </c>
      <c r="L83" s="18">
        <f t="shared" si="12"/>
        <v>0</v>
      </c>
      <c r="M83" s="18">
        <f t="shared" si="12"/>
        <v>0</v>
      </c>
      <c r="N83" s="18">
        <f t="shared" si="12"/>
        <v>0</v>
      </c>
      <c r="O83" s="18">
        <f t="shared" si="12"/>
        <v>0</v>
      </c>
      <c r="P83" s="18">
        <f t="shared" si="12"/>
        <v>0</v>
      </c>
      <c r="Q83" s="18">
        <f t="shared" si="12"/>
        <v>0</v>
      </c>
      <c r="R83" s="18">
        <f t="shared" si="12"/>
        <v>0</v>
      </c>
      <c r="S83" s="18">
        <f t="shared" si="13"/>
        <v>0</v>
      </c>
      <c r="T83" s="18">
        <v>1050000</v>
      </c>
      <c r="U83" s="19">
        <f t="shared" si="14"/>
        <v>-1050000</v>
      </c>
      <c r="V83" s="16">
        <f t="shared" si="15"/>
        <v>-1</v>
      </c>
      <c r="W83" s="2"/>
    </row>
    <row r="84" spans="1:23" ht="12" customHeight="1">
      <c r="A84" s="13" t="s">
        <v>97</v>
      </c>
      <c r="B84" s="18">
        <f t="shared" si="11"/>
        <v>0</v>
      </c>
      <c r="C84" s="18">
        <f t="shared" si="11"/>
        <v>0</v>
      </c>
      <c r="D84" s="18">
        <f t="shared" si="11"/>
        <v>0</v>
      </c>
      <c r="E84" s="18">
        <f t="shared" si="11"/>
        <v>0</v>
      </c>
      <c r="F84" s="18">
        <f t="shared" si="11"/>
        <v>0</v>
      </c>
      <c r="G84" s="18">
        <f t="shared" si="11"/>
        <v>0</v>
      </c>
      <c r="H84" s="18">
        <f t="shared" si="11"/>
        <v>0</v>
      </c>
      <c r="I84" s="18">
        <f t="shared" si="11"/>
        <v>0</v>
      </c>
      <c r="J84" s="18">
        <f t="shared" si="11"/>
        <v>0</v>
      </c>
      <c r="K84" s="18">
        <f t="shared" si="11"/>
        <v>0</v>
      </c>
      <c r="L84" s="18">
        <f t="shared" si="12"/>
        <v>0</v>
      </c>
      <c r="M84" s="18">
        <f t="shared" si="12"/>
        <v>0</v>
      </c>
      <c r="N84" s="18">
        <f t="shared" si="12"/>
        <v>0</v>
      </c>
      <c r="O84" s="18">
        <f t="shared" si="12"/>
        <v>0</v>
      </c>
      <c r="P84" s="18">
        <f t="shared" si="12"/>
        <v>0</v>
      </c>
      <c r="Q84" s="18">
        <f t="shared" si="12"/>
        <v>2462413</v>
      </c>
      <c r="R84" s="18">
        <f t="shared" si="12"/>
        <v>0</v>
      </c>
      <c r="S84" s="18">
        <f t="shared" si="13"/>
        <v>2462413</v>
      </c>
      <c r="T84" s="18">
        <v>1848360</v>
      </c>
      <c r="U84" s="19">
        <f t="shared" si="14"/>
        <v>614053</v>
      </c>
      <c r="V84" s="16">
        <f t="shared" si="15"/>
        <v>0.3322150446882642</v>
      </c>
      <c r="W84" s="2"/>
    </row>
    <row r="85" spans="1:23" ht="12" customHeight="1">
      <c r="A85" s="13" t="s">
        <v>98</v>
      </c>
      <c r="B85" s="18">
        <f t="shared" si="11"/>
        <v>0</v>
      </c>
      <c r="C85" s="18">
        <f t="shared" si="11"/>
        <v>0</v>
      </c>
      <c r="D85" s="18">
        <f t="shared" si="11"/>
        <v>0</v>
      </c>
      <c r="E85" s="18">
        <f t="shared" si="11"/>
        <v>0</v>
      </c>
      <c r="F85" s="18">
        <f t="shared" si="11"/>
        <v>0</v>
      </c>
      <c r="G85" s="18">
        <f t="shared" si="11"/>
        <v>0</v>
      </c>
      <c r="H85" s="18">
        <f t="shared" si="11"/>
        <v>0</v>
      </c>
      <c r="I85" s="18">
        <f t="shared" si="11"/>
        <v>0</v>
      </c>
      <c r="J85" s="18">
        <f t="shared" si="11"/>
        <v>0</v>
      </c>
      <c r="K85" s="18">
        <f t="shared" si="11"/>
        <v>0</v>
      </c>
      <c r="L85" s="18">
        <f t="shared" si="12"/>
        <v>0</v>
      </c>
      <c r="M85" s="18">
        <f t="shared" si="12"/>
        <v>0</v>
      </c>
      <c r="N85" s="18">
        <f t="shared" si="12"/>
        <v>0</v>
      </c>
      <c r="O85" s="18">
        <f t="shared" si="12"/>
        <v>0</v>
      </c>
      <c r="P85" s="18">
        <f t="shared" si="12"/>
        <v>0</v>
      </c>
      <c r="Q85" s="18">
        <f t="shared" si="12"/>
        <v>6919344</v>
      </c>
      <c r="R85" s="18">
        <f t="shared" si="12"/>
        <v>0</v>
      </c>
      <c r="S85" s="18">
        <f t="shared" si="13"/>
        <v>6919344</v>
      </c>
      <c r="T85" s="18">
        <v>6256500</v>
      </c>
      <c r="U85" s="19">
        <f t="shared" si="14"/>
        <v>662844</v>
      </c>
      <c r="V85" s="16">
        <f t="shared" si="15"/>
        <v>0.10594485734835771</v>
      </c>
      <c r="W85" s="2"/>
    </row>
    <row r="86" spans="1:23" ht="12" customHeight="1">
      <c r="A86" s="13" t="s">
        <v>99</v>
      </c>
      <c r="B86" s="18">
        <f t="shared" si="11"/>
        <v>0</v>
      </c>
      <c r="C86" s="18">
        <f t="shared" si="11"/>
        <v>0</v>
      </c>
      <c r="D86" s="18">
        <f t="shared" si="11"/>
        <v>0</v>
      </c>
      <c r="E86" s="18">
        <f t="shared" si="11"/>
        <v>0</v>
      </c>
      <c r="F86" s="18">
        <f t="shared" si="11"/>
        <v>0</v>
      </c>
      <c r="G86" s="18">
        <f t="shared" si="11"/>
        <v>0</v>
      </c>
      <c r="H86" s="18">
        <f t="shared" si="11"/>
        <v>0</v>
      </c>
      <c r="I86" s="18">
        <f t="shared" si="11"/>
        <v>0</v>
      </c>
      <c r="J86" s="18">
        <f t="shared" si="11"/>
        <v>0</v>
      </c>
      <c r="K86" s="18">
        <f t="shared" si="11"/>
        <v>0</v>
      </c>
      <c r="L86" s="18">
        <f t="shared" si="12"/>
        <v>0</v>
      </c>
      <c r="M86" s="18">
        <f t="shared" si="12"/>
        <v>0</v>
      </c>
      <c r="N86" s="18">
        <f t="shared" si="12"/>
        <v>0</v>
      </c>
      <c r="O86" s="18">
        <f t="shared" si="12"/>
        <v>0</v>
      </c>
      <c r="P86" s="18">
        <f t="shared" si="12"/>
        <v>0</v>
      </c>
      <c r="Q86" s="18">
        <f t="shared" si="12"/>
        <v>1045968</v>
      </c>
      <c r="R86" s="18">
        <f t="shared" si="12"/>
        <v>0</v>
      </c>
      <c r="S86" s="18">
        <f t="shared" si="13"/>
        <v>1045968</v>
      </c>
      <c r="T86" s="18">
        <v>270100</v>
      </c>
      <c r="U86" s="19">
        <f t="shared" si="14"/>
        <v>775868</v>
      </c>
      <c r="V86" s="16">
        <f t="shared" si="15"/>
        <v>2.8725212884116993</v>
      </c>
      <c r="W86" s="2"/>
    </row>
    <row r="87" spans="1:23" ht="12" customHeight="1">
      <c r="A87" s="13" t="s">
        <v>100</v>
      </c>
      <c r="B87" s="18">
        <f t="shared" si="11"/>
        <v>0</v>
      </c>
      <c r="C87" s="18">
        <f t="shared" si="11"/>
        <v>0</v>
      </c>
      <c r="D87" s="18">
        <f t="shared" si="11"/>
        <v>0</v>
      </c>
      <c r="E87" s="18">
        <f t="shared" si="11"/>
        <v>0</v>
      </c>
      <c r="F87" s="18">
        <f t="shared" si="11"/>
        <v>0</v>
      </c>
      <c r="G87" s="18">
        <f t="shared" si="11"/>
        <v>0</v>
      </c>
      <c r="H87" s="18">
        <f t="shared" si="11"/>
        <v>0</v>
      </c>
      <c r="I87" s="18">
        <f t="shared" si="11"/>
        <v>0</v>
      </c>
      <c r="J87" s="18">
        <f t="shared" si="11"/>
        <v>0</v>
      </c>
      <c r="K87" s="18">
        <f t="shared" si="11"/>
        <v>0</v>
      </c>
      <c r="L87" s="18">
        <f t="shared" si="12"/>
        <v>0</v>
      </c>
      <c r="M87" s="18">
        <f t="shared" si="12"/>
        <v>0</v>
      </c>
      <c r="N87" s="18">
        <f t="shared" si="12"/>
        <v>0</v>
      </c>
      <c r="O87" s="18">
        <f t="shared" si="12"/>
        <v>0</v>
      </c>
      <c r="P87" s="18">
        <f t="shared" si="12"/>
        <v>0</v>
      </c>
      <c r="Q87" s="18">
        <f t="shared" si="12"/>
        <v>14661558</v>
      </c>
      <c r="R87" s="18">
        <f t="shared" si="12"/>
        <v>0</v>
      </c>
      <c r="S87" s="18">
        <f t="shared" si="13"/>
        <v>14661558</v>
      </c>
      <c r="T87" s="18">
        <v>10122100</v>
      </c>
      <c r="U87" s="19">
        <f t="shared" si="14"/>
        <v>4539458</v>
      </c>
      <c r="V87" s="16">
        <f t="shared" si="15"/>
        <v>0.44846998152557277</v>
      </c>
      <c r="W87" s="2"/>
    </row>
    <row r="88" spans="1:23" ht="12" customHeight="1">
      <c r="A88" s="13" t="s">
        <v>101</v>
      </c>
      <c r="B88" s="18">
        <f t="shared" si="11"/>
        <v>0</v>
      </c>
      <c r="C88" s="18">
        <f t="shared" si="11"/>
        <v>0</v>
      </c>
      <c r="D88" s="18">
        <f t="shared" si="11"/>
        <v>0</v>
      </c>
      <c r="E88" s="18">
        <f t="shared" si="11"/>
        <v>0</v>
      </c>
      <c r="F88" s="18">
        <f t="shared" si="11"/>
        <v>0</v>
      </c>
      <c r="G88" s="18">
        <f t="shared" si="11"/>
        <v>0</v>
      </c>
      <c r="H88" s="18">
        <f t="shared" si="11"/>
        <v>0</v>
      </c>
      <c r="I88" s="18">
        <f t="shared" si="11"/>
        <v>0</v>
      </c>
      <c r="J88" s="18">
        <f t="shared" si="11"/>
        <v>0</v>
      </c>
      <c r="K88" s="18">
        <f t="shared" si="11"/>
        <v>0</v>
      </c>
      <c r="L88" s="18">
        <f t="shared" si="12"/>
        <v>0</v>
      </c>
      <c r="M88" s="18">
        <f t="shared" si="12"/>
        <v>0</v>
      </c>
      <c r="N88" s="18">
        <f t="shared" si="12"/>
        <v>0</v>
      </c>
      <c r="O88" s="18">
        <f t="shared" si="12"/>
        <v>0</v>
      </c>
      <c r="P88" s="18">
        <f t="shared" si="12"/>
        <v>0</v>
      </c>
      <c r="Q88" s="18">
        <f t="shared" si="12"/>
        <v>75257094</v>
      </c>
      <c r="R88" s="18">
        <f t="shared" si="12"/>
        <v>0</v>
      </c>
      <c r="S88" s="18">
        <f t="shared" si="13"/>
        <v>75257094</v>
      </c>
      <c r="T88" s="18">
        <v>108725300</v>
      </c>
      <c r="U88" s="19">
        <f t="shared" si="14"/>
        <v>-33468206</v>
      </c>
      <c r="V88" s="16">
        <f t="shared" si="15"/>
        <v>-0.3078235332530699</v>
      </c>
      <c r="W88" s="2"/>
    </row>
    <row r="89" spans="1:23" ht="12" customHeight="1">
      <c r="A89" s="13" t="s">
        <v>103</v>
      </c>
      <c r="B89" s="18">
        <f t="shared" si="11"/>
        <v>0</v>
      </c>
      <c r="C89" s="18">
        <f t="shared" si="11"/>
        <v>0</v>
      </c>
      <c r="D89" s="18">
        <f t="shared" si="11"/>
        <v>0</v>
      </c>
      <c r="E89" s="18">
        <f t="shared" si="11"/>
        <v>0</v>
      </c>
      <c r="F89" s="18">
        <f t="shared" si="11"/>
        <v>0</v>
      </c>
      <c r="G89" s="18">
        <f t="shared" si="11"/>
        <v>0</v>
      </c>
      <c r="H89" s="18">
        <f t="shared" si="11"/>
        <v>0</v>
      </c>
      <c r="I89" s="18">
        <f t="shared" si="11"/>
        <v>0</v>
      </c>
      <c r="J89" s="18">
        <f t="shared" si="11"/>
        <v>0</v>
      </c>
      <c r="K89" s="18">
        <f t="shared" si="11"/>
        <v>0</v>
      </c>
      <c r="L89" s="18">
        <f t="shared" si="12"/>
        <v>0</v>
      </c>
      <c r="M89" s="18">
        <f t="shared" si="12"/>
        <v>0</v>
      </c>
      <c r="N89" s="18">
        <f t="shared" si="12"/>
        <v>0</v>
      </c>
      <c r="O89" s="18">
        <f t="shared" si="12"/>
        <v>0</v>
      </c>
      <c r="P89" s="18">
        <f t="shared" si="12"/>
        <v>0</v>
      </c>
      <c r="Q89" s="18">
        <f t="shared" si="12"/>
        <v>1159010</v>
      </c>
      <c r="R89" s="18">
        <f t="shared" si="12"/>
        <v>0</v>
      </c>
      <c r="S89" s="18">
        <f t="shared" si="13"/>
        <v>1159010</v>
      </c>
      <c r="T89" s="18">
        <v>3091000</v>
      </c>
      <c r="U89" s="19">
        <f t="shared" si="14"/>
        <v>-1931990</v>
      </c>
      <c r="V89" s="16">
        <f t="shared" si="15"/>
        <v>-0.6250372047880944</v>
      </c>
      <c r="W89" s="2"/>
    </row>
    <row r="90" spans="1:23" ht="12" customHeight="1">
      <c r="A90" s="13" t="s">
        <v>104</v>
      </c>
      <c r="B90" s="18">
        <f t="shared" si="11"/>
        <v>0</v>
      </c>
      <c r="C90" s="18">
        <f t="shared" si="11"/>
        <v>0</v>
      </c>
      <c r="D90" s="18">
        <f t="shared" si="11"/>
        <v>0</v>
      </c>
      <c r="E90" s="18">
        <f t="shared" si="11"/>
        <v>0</v>
      </c>
      <c r="F90" s="18">
        <f t="shared" si="11"/>
        <v>0</v>
      </c>
      <c r="G90" s="18">
        <f t="shared" si="11"/>
        <v>0</v>
      </c>
      <c r="H90" s="18">
        <f t="shared" si="11"/>
        <v>0</v>
      </c>
      <c r="I90" s="18">
        <f t="shared" si="11"/>
        <v>0</v>
      </c>
      <c r="J90" s="18">
        <f t="shared" si="11"/>
        <v>0</v>
      </c>
      <c r="K90" s="18">
        <f t="shared" si="11"/>
        <v>0</v>
      </c>
      <c r="L90" s="18">
        <f t="shared" si="12"/>
        <v>0</v>
      </c>
      <c r="M90" s="18">
        <f t="shared" si="12"/>
        <v>0</v>
      </c>
      <c r="N90" s="18">
        <f t="shared" si="12"/>
        <v>0</v>
      </c>
      <c r="O90" s="18">
        <f t="shared" si="12"/>
        <v>0</v>
      </c>
      <c r="P90" s="18">
        <f t="shared" si="12"/>
        <v>0</v>
      </c>
      <c r="Q90" s="18">
        <f t="shared" si="12"/>
        <v>1268707</v>
      </c>
      <c r="R90" s="18">
        <f t="shared" si="12"/>
        <v>0</v>
      </c>
      <c r="S90" s="18">
        <f t="shared" si="13"/>
        <v>1268707</v>
      </c>
      <c r="T90" s="18">
        <v>3000000</v>
      </c>
      <c r="U90" s="19">
        <f t="shared" si="14"/>
        <v>-1731293</v>
      </c>
      <c r="V90" s="16">
        <f t="shared" si="15"/>
        <v>-0.5770976666666666</v>
      </c>
      <c r="W90" s="2"/>
    </row>
    <row r="91" spans="1:23" ht="12" customHeight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6"/>
      <c r="W91" s="2"/>
    </row>
    <row r="92" spans="1:23" ht="12" customHeight="1" thickBot="1">
      <c r="A92" s="23" t="s">
        <v>105</v>
      </c>
      <c r="B92" s="24">
        <f aca="true" t="shared" si="16" ref="B92:R92">SUM(B12:B90)</f>
        <v>1979423</v>
      </c>
      <c r="C92" s="24">
        <f t="shared" si="16"/>
        <v>830516</v>
      </c>
      <c r="D92" s="24">
        <f t="shared" si="16"/>
        <v>185398</v>
      </c>
      <c r="E92" s="24">
        <f t="shared" si="16"/>
        <v>3824349</v>
      </c>
      <c r="F92" s="24">
        <f t="shared" si="16"/>
        <v>2387372</v>
      </c>
      <c r="G92" s="24">
        <f t="shared" si="16"/>
        <v>1866622</v>
      </c>
      <c r="H92" s="24">
        <f t="shared" si="16"/>
        <v>1549125</v>
      </c>
      <c r="I92" s="24">
        <f t="shared" si="16"/>
        <v>5535627</v>
      </c>
      <c r="J92" s="24">
        <f t="shared" si="16"/>
        <v>1855175</v>
      </c>
      <c r="K92" s="24">
        <f t="shared" si="16"/>
        <v>8492719</v>
      </c>
      <c r="L92" s="24">
        <f t="shared" si="16"/>
        <v>10982206</v>
      </c>
      <c r="M92" s="24">
        <f t="shared" si="16"/>
        <v>88299794</v>
      </c>
      <c r="N92" s="24">
        <f t="shared" si="16"/>
        <v>118082349</v>
      </c>
      <c r="O92" s="24">
        <f t="shared" si="16"/>
        <v>46475240</v>
      </c>
      <c r="P92" s="24">
        <f t="shared" si="16"/>
        <v>1096807</v>
      </c>
      <c r="Q92" s="24">
        <f t="shared" si="16"/>
        <v>156823651</v>
      </c>
      <c r="R92" s="24">
        <f t="shared" si="16"/>
        <v>22011172</v>
      </c>
      <c r="S92" s="69">
        <f>SUM(S12:S90)-1</f>
        <v>472277544</v>
      </c>
      <c r="T92" s="24">
        <f>SUM(T12:T91)+1</f>
        <v>442535350</v>
      </c>
      <c r="U92" s="24">
        <f>S92-T92</f>
        <v>29742194</v>
      </c>
      <c r="V92" s="25">
        <f>IF(T92=0,100%,U92/T92)</f>
        <v>0.0672086286440168</v>
      </c>
      <c r="W92" s="2"/>
    </row>
    <row r="93" spans="1:23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"/>
    </row>
    <row r="94" spans="1:23" ht="4.5" customHeigh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"/>
    </row>
    <row r="95" spans="1:23" ht="27" customHeight="1" hidden="1">
      <c r="A95" s="26"/>
      <c r="B95" s="100">
        <f>B92-B225</f>
        <v>0</v>
      </c>
      <c r="C95" s="100">
        <f aca="true" t="shared" si="17" ref="C95:R95">C92-C225</f>
        <v>0</v>
      </c>
      <c r="D95" s="100">
        <f t="shared" si="17"/>
        <v>0</v>
      </c>
      <c r="E95" s="100">
        <f t="shared" si="17"/>
        <v>0</v>
      </c>
      <c r="F95" s="100">
        <f t="shared" si="17"/>
        <v>0</v>
      </c>
      <c r="G95" s="100">
        <f t="shared" si="17"/>
        <v>0</v>
      </c>
      <c r="H95" s="100">
        <f t="shared" si="17"/>
        <v>0</v>
      </c>
      <c r="I95" s="100">
        <f t="shared" si="17"/>
        <v>0</v>
      </c>
      <c r="J95" s="100">
        <f t="shared" si="17"/>
        <v>-1</v>
      </c>
      <c r="K95" s="100">
        <f t="shared" si="17"/>
        <v>0</v>
      </c>
      <c r="L95" s="100">
        <f t="shared" si="17"/>
        <v>0</v>
      </c>
      <c r="M95" s="100">
        <f t="shared" si="17"/>
        <v>0</v>
      </c>
      <c r="N95" s="100">
        <f t="shared" si="17"/>
        <v>0</v>
      </c>
      <c r="O95" s="100">
        <f t="shared" si="17"/>
        <v>0</v>
      </c>
      <c r="P95" s="100">
        <f t="shared" si="17"/>
        <v>0</v>
      </c>
      <c r="Q95" s="100">
        <f t="shared" si="17"/>
        <v>0</v>
      </c>
      <c r="R95" s="100">
        <f t="shared" si="17"/>
        <v>0</v>
      </c>
      <c r="S95" s="100">
        <f>S92-S225</f>
        <v>1</v>
      </c>
      <c r="T95" s="27"/>
      <c r="U95" s="27"/>
      <c r="V95" s="27"/>
      <c r="W95" s="2"/>
    </row>
    <row r="96" spans="1:23" ht="27" customHeight="1" hidden="1">
      <c r="A96" s="26"/>
      <c r="B96" s="100">
        <f>B92-B225</f>
        <v>0</v>
      </c>
      <c r="C96" s="100">
        <f aca="true" t="shared" si="18" ref="C96:S96">C92-C225</f>
        <v>0</v>
      </c>
      <c r="D96" s="100">
        <f t="shared" si="18"/>
        <v>0</v>
      </c>
      <c r="E96" s="100">
        <f t="shared" si="18"/>
        <v>0</v>
      </c>
      <c r="F96" s="100">
        <f t="shared" si="18"/>
        <v>0</v>
      </c>
      <c r="G96" s="100">
        <f t="shared" si="18"/>
        <v>0</v>
      </c>
      <c r="H96" s="100">
        <f t="shared" si="18"/>
        <v>0</v>
      </c>
      <c r="I96" s="100">
        <f t="shared" si="18"/>
        <v>0</v>
      </c>
      <c r="J96" s="100">
        <f t="shared" si="18"/>
        <v>-1</v>
      </c>
      <c r="K96" s="100">
        <f t="shared" si="18"/>
        <v>0</v>
      </c>
      <c r="L96" s="100">
        <f t="shared" si="18"/>
        <v>0</v>
      </c>
      <c r="M96" s="100">
        <f t="shared" si="18"/>
        <v>0</v>
      </c>
      <c r="N96" s="100">
        <f t="shared" si="18"/>
        <v>0</v>
      </c>
      <c r="O96" s="100">
        <f t="shared" si="18"/>
        <v>0</v>
      </c>
      <c r="P96" s="100">
        <f t="shared" si="18"/>
        <v>0</v>
      </c>
      <c r="Q96" s="100">
        <f t="shared" si="18"/>
        <v>0</v>
      </c>
      <c r="R96" s="100">
        <f t="shared" si="18"/>
        <v>0</v>
      </c>
      <c r="S96" s="100">
        <f t="shared" si="18"/>
        <v>1</v>
      </c>
      <c r="T96" s="27"/>
      <c r="U96" s="27"/>
      <c r="V96" s="27"/>
      <c r="W96" s="2"/>
    </row>
    <row r="97" spans="1:22" s="28" customFormat="1" ht="27" hidden="1">
      <c r="A97" s="58" t="s">
        <v>0</v>
      </c>
      <c r="B97" s="101" t="s">
        <v>108</v>
      </c>
      <c r="C97" s="101" t="s">
        <v>1</v>
      </c>
      <c r="D97" s="101" t="s">
        <v>2</v>
      </c>
      <c r="E97" s="101" t="s">
        <v>3</v>
      </c>
      <c r="F97" s="101" t="s">
        <v>5</v>
      </c>
      <c r="G97" s="101" t="s">
        <v>6</v>
      </c>
      <c r="H97" s="101" t="s">
        <v>7</v>
      </c>
      <c r="I97" s="101" t="s">
        <v>8</v>
      </c>
      <c r="J97" s="101" t="s">
        <v>9</v>
      </c>
      <c r="K97" s="101" t="s">
        <v>10</v>
      </c>
      <c r="L97" s="101" t="s">
        <v>11</v>
      </c>
      <c r="M97" s="101" t="s">
        <v>109</v>
      </c>
      <c r="N97" s="101" t="s">
        <v>15</v>
      </c>
      <c r="O97" s="101" t="s">
        <v>16</v>
      </c>
      <c r="P97" s="101" t="s">
        <v>17</v>
      </c>
      <c r="Q97" s="101" t="s">
        <v>18</v>
      </c>
      <c r="R97" s="101" t="s">
        <v>19</v>
      </c>
      <c r="S97" s="60" t="s">
        <v>111</v>
      </c>
      <c r="T97" s="60" t="s">
        <v>107</v>
      </c>
      <c r="U97" s="61" t="s">
        <v>22</v>
      </c>
      <c r="V97" s="61" t="s">
        <v>23</v>
      </c>
    </row>
    <row r="98" spans="1:23" ht="6.75" customHeight="1" hidden="1" thickBot="1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2"/>
    </row>
    <row r="99" spans="1:23" ht="12.75" hidden="1" outlineLevel="1">
      <c r="A99" s="41" t="s">
        <v>24</v>
      </c>
      <c r="B99" s="42">
        <v>1375540</v>
      </c>
      <c r="C99" s="42">
        <v>335241</v>
      </c>
      <c r="D99" s="42">
        <v>84810</v>
      </c>
      <c r="E99" s="42">
        <v>346775</v>
      </c>
      <c r="F99" s="42">
        <v>488151</v>
      </c>
      <c r="G99" s="42">
        <v>912514</v>
      </c>
      <c r="H99" s="42">
        <v>667625</v>
      </c>
      <c r="I99" s="42">
        <v>661640</v>
      </c>
      <c r="J99" s="42">
        <v>1396927</v>
      </c>
      <c r="K99" s="42">
        <v>1393214</v>
      </c>
      <c r="L99" s="42">
        <v>0</v>
      </c>
      <c r="M99" s="42">
        <v>10365417</v>
      </c>
      <c r="N99" s="42">
        <v>6337306</v>
      </c>
      <c r="O99" s="42">
        <v>8644678</v>
      </c>
      <c r="P99" s="42">
        <v>756496</v>
      </c>
      <c r="Q99" s="42">
        <v>2308230</v>
      </c>
      <c r="R99" s="42">
        <v>5491985</v>
      </c>
      <c r="S99" s="42">
        <f>SUM(B99:R99)</f>
        <v>41566549</v>
      </c>
      <c r="T99" s="42">
        <v>37452067</v>
      </c>
      <c r="U99" s="42">
        <f>S99-T99</f>
        <v>4114482</v>
      </c>
      <c r="V99" s="62">
        <v>11</v>
      </c>
      <c r="W99" s="2"/>
    </row>
    <row r="100" spans="1:23" ht="12.75" hidden="1" outlineLevel="1">
      <c r="A100" s="41" t="s">
        <v>26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46176</v>
      </c>
      <c r="H100" s="45">
        <v>0</v>
      </c>
      <c r="I100" s="45">
        <v>128584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f aca="true" t="shared" si="19" ref="S100:S163">SUM(B100:R100)</f>
        <v>174760</v>
      </c>
      <c r="T100" s="45">
        <v>179568</v>
      </c>
      <c r="U100" s="45">
        <f aca="true" t="shared" si="20" ref="U100:U163">S100-T100</f>
        <v>-4808</v>
      </c>
      <c r="V100" s="62">
        <v>-2.7</v>
      </c>
      <c r="W100" s="2"/>
    </row>
    <row r="101" spans="1:23" ht="12.75" hidden="1" outlineLevel="1">
      <c r="A101" s="41" t="s">
        <v>27</v>
      </c>
      <c r="B101" s="45">
        <v>456</v>
      </c>
      <c r="C101" s="45">
        <v>0</v>
      </c>
      <c r="D101" s="45">
        <v>0</v>
      </c>
      <c r="E101" s="45">
        <v>0</v>
      </c>
      <c r="F101" s="45">
        <v>0</v>
      </c>
      <c r="G101" s="45">
        <v>2396</v>
      </c>
      <c r="H101" s="45">
        <v>0</v>
      </c>
      <c r="I101" s="45">
        <v>0</v>
      </c>
      <c r="J101" s="45">
        <v>1947</v>
      </c>
      <c r="K101" s="45">
        <v>1554</v>
      </c>
      <c r="L101" s="45">
        <v>0</v>
      </c>
      <c r="M101" s="45">
        <v>366132</v>
      </c>
      <c r="N101" s="45">
        <v>85663</v>
      </c>
      <c r="O101" s="45">
        <v>340000</v>
      </c>
      <c r="P101" s="45">
        <v>0</v>
      </c>
      <c r="Q101" s="45">
        <v>0</v>
      </c>
      <c r="R101" s="45">
        <v>23028</v>
      </c>
      <c r="S101" s="45">
        <f t="shared" si="19"/>
        <v>821176</v>
      </c>
      <c r="T101" s="45">
        <v>717831</v>
      </c>
      <c r="U101" s="45">
        <f t="shared" si="20"/>
        <v>103345</v>
      </c>
      <c r="V101" s="62">
        <v>14.4</v>
      </c>
      <c r="W101" s="2"/>
    </row>
    <row r="102" spans="1:23" ht="12.75" hidden="1" outlineLevel="1">
      <c r="A102" s="41" t="s">
        <v>28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9161931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f t="shared" si="19"/>
        <v>9161931</v>
      </c>
      <c r="T102" s="45">
        <v>8349010</v>
      </c>
      <c r="U102" s="45">
        <f t="shared" si="20"/>
        <v>812921</v>
      </c>
      <c r="V102" s="62">
        <v>9.7</v>
      </c>
      <c r="W102" s="2"/>
    </row>
    <row r="103" spans="1:23" ht="12.75" hidden="1" outlineLevel="1">
      <c r="A103" s="41" t="s">
        <v>29</v>
      </c>
      <c r="B103" s="45">
        <v>184000</v>
      </c>
      <c r="C103" s="45">
        <v>37381</v>
      </c>
      <c r="D103" s="45">
        <v>11252</v>
      </c>
      <c r="E103" s="45">
        <v>46642</v>
      </c>
      <c r="F103" s="45">
        <v>66476</v>
      </c>
      <c r="G103" s="45">
        <v>116753</v>
      </c>
      <c r="H103" s="45">
        <v>89943</v>
      </c>
      <c r="I103" s="45">
        <v>87541</v>
      </c>
      <c r="J103" s="45">
        <v>185290</v>
      </c>
      <c r="K103" s="45">
        <v>185804</v>
      </c>
      <c r="L103" s="45">
        <v>0</v>
      </c>
      <c r="M103" s="45">
        <v>1390511</v>
      </c>
      <c r="N103" s="45">
        <v>852287</v>
      </c>
      <c r="O103" s="45">
        <v>1142850</v>
      </c>
      <c r="P103" s="45">
        <v>100384</v>
      </c>
      <c r="Q103" s="45">
        <v>303142</v>
      </c>
      <c r="R103" s="45">
        <v>729568</v>
      </c>
      <c r="S103" s="45">
        <f t="shared" si="19"/>
        <v>5529824</v>
      </c>
      <c r="T103" s="45">
        <v>4966450</v>
      </c>
      <c r="U103" s="45">
        <f t="shared" si="20"/>
        <v>563374</v>
      </c>
      <c r="V103" s="62">
        <v>11.3</v>
      </c>
      <c r="W103" s="2"/>
    </row>
    <row r="104" spans="1:23" ht="12.75" hidden="1" outlineLevel="1">
      <c r="A104" s="41" t="s">
        <v>30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6119</v>
      </c>
      <c r="H104" s="45">
        <v>0</v>
      </c>
      <c r="I104" s="45">
        <v>16966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f t="shared" si="19"/>
        <v>23085</v>
      </c>
      <c r="T104" s="45">
        <v>23408</v>
      </c>
      <c r="U104" s="45">
        <f t="shared" si="20"/>
        <v>-323</v>
      </c>
      <c r="V104" s="62">
        <v>-1.4</v>
      </c>
      <c r="W104" s="2"/>
    </row>
    <row r="105" spans="1:23" ht="12.75" hidden="1" outlineLevel="1">
      <c r="A105" s="41" t="s">
        <v>32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31575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f t="shared" si="19"/>
        <v>31575</v>
      </c>
      <c r="T105" s="45">
        <v>27913</v>
      </c>
      <c r="U105" s="45">
        <f t="shared" si="20"/>
        <v>3662</v>
      </c>
      <c r="V105" s="62">
        <v>13.1</v>
      </c>
      <c r="W105" s="2"/>
    </row>
    <row r="106" spans="1:23" ht="12.75" hidden="1" outlineLevel="1">
      <c r="A106" s="41" t="s">
        <v>33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227386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f t="shared" si="19"/>
        <v>227386</v>
      </c>
      <c r="T106" s="45">
        <v>200000</v>
      </c>
      <c r="U106" s="45">
        <f t="shared" si="20"/>
        <v>27386</v>
      </c>
      <c r="V106" s="62">
        <v>13.7</v>
      </c>
      <c r="W106" s="2"/>
    </row>
    <row r="107" spans="1:23" ht="12.75" hidden="1" outlineLevel="1">
      <c r="A107" s="41" t="s">
        <v>34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f t="shared" si="19"/>
        <v>0</v>
      </c>
      <c r="T107" s="45">
        <v>1920000</v>
      </c>
      <c r="U107" s="45">
        <f t="shared" si="20"/>
        <v>-1920000</v>
      </c>
      <c r="V107" s="62">
        <v>-100</v>
      </c>
      <c r="W107" s="2"/>
    </row>
    <row r="108" spans="1:23" ht="12.75" hidden="1" outlineLevel="1">
      <c r="A108" s="41" t="s">
        <v>35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382573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f t="shared" si="19"/>
        <v>382573</v>
      </c>
      <c r="T108" s="45">
        <v>331395</v>
      </c>
      <c r="U108" s="45">
        <f t="shared" si="20"/>
        <v>51178</v>
      </c>
      <c r="V108" s="62">
        <v>15.4</v>
      </c>
      <c r="W108" s="2"/>
    </row>
    <row r="109" spans="1:23" ht="12.75" hidden="1" outlineLevel="1">
      <c r="A109" s="41" t="s">
        <v>36</v>
      </c>
      <c r="B109" s="45">
        <v>2308</v>
      </c>
      <c r="C109" s="45">
        <v>2382</v>
      </c>
      <c r="D109" s="45">
        <v>59697</v>
      </c>
      <c r="E109" s="45">
        <v>0</v>
      </c>
      <c r="F109" s="45">
        <v>0</v>
      </c>
      <c r="G109" s="45">
        <v>8418</v>
      </c>
      <c r="H109" s="45">
        <v>646</v>
      </c>
      <c r="I109" s="45">
        <v>600</v>
      </c>
      <c r="J109" s="45">
        <v>1571</v>
      </c>
      <c r="K109" s="45">
        <v>12941</v>
      </c>
      <c r="L109" s="45">
        <v>0</v>
      </c>
      <c r="M109" s="45">
        <v>30556</v>
      </c>
      <c r="N109" s="45">
        <v>0</v>
      </c>
      <c r="O109" s="45">
        <v>6100</v>
      </c>
      <c r="P109" s="45">
        <v>1013</v>
      </c>
      <c r="Q109" s="45">
        <v>0</v>
      </c>
      <c r="R109" s="45">
        <v>0</v>
      </c>
      <c r="S109" s="45">
        <f t="shared" si="19"/>
        <v>126232</v>
      </c>
      <c r="T109" s="45">
        <v>97287</v>
      </c>
      <c r="U109" s="45">
        <f t="shared" si="20"/>
        <v>28945</v>
      </c>
      <c r="V109" s="62">
        <v>29.8</v>
      </c>
      <c r="W109" s="2"/>
    </row>
    <row r="110" spans="1:23" ht="12.75" hidden="1" outlineLevel="1">
      <c r="A110" s="41" t="s">
        <v>37</v>
      </c>
      <c r="B110" s="45">
        <v>1023</v>
      </c>
      <c r="C110" s="45">
        <v>273641</v>
      </c>
      <c r="D110" s="45">
        <v>0</v>
      </c>
      <c r="E110" s="45">
        <v>516174</v>
      </c>
      <c r="F110" s="45">
        <v>211200</v>
      </c>
      <c r="G110" s="45">
        <v>162551</v>
      </c>
      <c r="H110" s="45">
        <v>197763</v>
      </c>
      <c r="I110" s="45">
        <v>0</v>
      </c>
      <c r="J110" s="45">
        <v>2030</v>
      </c>
      <c r="K110" s="45">
        <v>1747752</v>
      </c>
      <c r="L110" s="45">
        <v>0</v>
      </c>
      <c r="M110" s="45">
        <v>10491036</v>
      </c>
      <c r="N110" s="45">
        <v>1804280</v>
      </c>
      <c r="O110" s="45">
        <v>299999</v>
      </c>
      <c r="P110" s="45">
        <v>0</v>
      </c>
      <c r="Q110" s="45">
        <v>33080</v>
      </c>
      <c r="R110" s="45">
        <v>82852</v>
      </c>
      <c r="S110" s="45">
        <f t="shared" si="19"/>
        <v>15823381</v>
      </c>
      <c r="T110" s="45">
        <v>14654243</v>
      </c>
      <c r="U110" s="45">
        <f t="shared" si="20"/>
        <v>1169138</v>
      </c>
      <c r="V110" s="62">
        <v>8</v>
      </c>
      <c r="W110" s="2"/>
    </row>
    <row r="111" spans="1:23" ht="12.75" hidden="1" outlineLevel="1">
      <c r="A111" s="41" t="s">
        <v>38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4318669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f t="shared" si="19"/>
        <v>4318669</v>
      </c>
      <c r="T111" s="45">
        <v>4070000</v>
      </c>
      <c r="U111" s="45">
        <f t="shared" si="20"/>
        <v>248669</v>
      </c>
      <c r="V111" s="62">
        <v>6.1</v>
      </c>
      <c r="W111" s="2"/>
    </row>
    <row r="112" spans="1:23" ht="12.75" hidden="1" outlineLevel="1">
      <c r="A112" s="41" t="s">
        <v>39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302699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f t="shared" si="19"/>
        <v>302699</v>
      </c>
      <c r="T112" s="45">
        <v>232600</v>
      </c>
      <c r="U112" s="45">
        <f t="shared" si="20"/>
        <v>70099</v>
      </c>
      <c r="V112" s="62">
        <v>30.1</v>
      </c>
      <c r="W112" s="2"/>
    </row>
    <row r="113" spans="1:23" ht="12.75" hidden="1" outlineLevel="1">
      <c r="A113" s="41" t="s">
        <v>40</v>
      </c>
      <c r="B113" s="45">
        <v>0</v>
      </c>
      <c r="C113" s="45">
        <v>0</v>
      </c>
      <c r="D113" s="45">
        <v>0</v>
      </c>
      <c r="E113" s="45">
        <v>535399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f t="shared" si="19"/>
        <v>535399</v>
      </c>
      <c r="T113" s="45">
        <v>483500</v>
      </c>
      <c r="U113" s="45">
        <f t="shared" si="20"/>
        <v>51899</v>
      </c>
      <c r="V113" s="62">
        <v>10.7</v>
      </c>
      <c r="W113" s="2"/>
    </row>
    <row r="114" spans="1:23" ht="12.75" hidden="1" outlineLevel="1">
      <c r="A114" s="41" t="s">
        <v>41</v>
      </c>
      <c r="B114" s="45">
        <v>0</v>
      </c>
      <c r="C114" s="45">
        <v>0</v>
      </c>
      <c r="D114" s="45">
        <v>0</v>
      </c>
      <c r="E114" s="45">
        <v>116000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f t="shared" si="19"/>
        <v>116000</v>
      </c>
      <c r="T114" s="45">
        <v>100000</v>
      </c>
      <c r="U114" s="45">
        <f t="shared" si="20"/>
        <v>16000</v>
      </c>
      <c r="V114" s="62">
        <v>16</v>
      </c>
      <c r="W114" s="2"/>
    </row>
    <row r="115" spans="1:23" ht="12.75" hidden="1" outlineLevel="1">
      <c r="A115" s="41" t="s">
        <v>42</v>
      </c>
      <c r="B115" s="45">
        <v>0</v>
      </c>
      <c r="C115" s="45">
        <v>0</v>
      </c>
      <c r="D115" s="45">
        <v>0</v>
      </c>
      <c r="E115" s="45">
        <v>2180167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f t="shared" si="19"/>
        <v>2180167</v>
      </c>
      <c r="T115" s="45">
        <v>3500000</v>
      </c>
      <c r="U115" s="45">
        <f t="shared" si="20"/>
        <v>-1319833</v>
      </c>
      <c r="V115" s="62">
        <v>-37.7</v>
      </c>
      <c r="W115" s="2"/>
    </row>
    <row r="116" spans="1:23" ht="12.75" hidden="1" outlineLevel="1">
      <c r="A116" s="41" t="s">
        <v>43</v>
      </c>
      <c r="B116" s="45">
        <v>0</v>
      </c>
      <c r="C116" s="45">
        <v>0</v>
      </c>
      <c r="D116" s="45">
        <v>0</v>
      </c>
      <c r="E116" s="45">
        <v>0</v>
      </c>
      <c r="F116" s="45">
        <v>1488199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850000</v>
      </c>
      <c r="S116" s="45">
        <f t="shared" si="19"/>
        <v>2338199</v>
      </c>
      <c r="T116" s="45">
        <v>1398200</v>
      </c>
      <c r="U116" s="45">
        <f t="shared" si="20"/>
        <v>939999</v>
      </c>
      <c r="V116" s="62">
        <v>67.2</v>
      </c>
      <c r="W116" s="2"/>
    </row>
    <row r="117" spans="1:23" ht="12.75" hidden="1" outlineLevel="1">
      <c r="A117" s="41" t="s">
        <v>44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8985742</v>
      </c>
      <c r="S117" s="45">
        <f t="shared" si="19"/>
        <v>8985742</v>
      </c>
      <c r="T117" s="45">
        <v>5602076</v>
      </c>
      <c r="U117" s="45">
        <f t="shared" si="20"/>
        <v>3383666</v>
      </c>
      <c r="V117" s="62">
        <v>60.4</v>
      </c>
      <c r="W117" s="2"/>
    </row>
    <row r="118" spans="1:23" ht="12.75" hidden="1" outlineLevel="1">
      <c r="A118" s="41" t="s">
        <v>45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39827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f t="shared" si="19"/>
        <v>39827</v>
      </c>
      <c r="T118" s="45">
        <v>26883</v>
      </c>
      <c r="U118" s="45">
        <f t="shared" si="20"/>
        <v>12944</v>
      </c>
      <c r="V118" s="62">
        <v>48.1</v>
      </c>
      <c r="W118" s="2"/>
    </row>
    <row r="119" spans="1:23" ht="12.75" hidden="1" outlineLevel="1">
      <c r="A119" s="41" t="s">
        <v>46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6849342</v>
      </c>
      <c r="O119" s="45">
        <v>13526418</v>
      </c>
      <c r="P119" s="45">
        <v>0</v>
      </c>
      <c r="Q119" s="45">
        <v>0</v>
      </c>
      <c r="R119" s="45">
        <v>55136</v>
      </c>
      <c r="S119" s="45">
        <f t="shared" si="19"/>
        <v>20430896</v>
      </c>
      <c r="T119" s="45">
        <v>12115703</v>
      </c>
      <c r="U119" s="45">
        <f t="shared" si="20"/>
        <v>8315193</v>
      </c>
      <c r="V119" s="62">
        <v>68.6</v>
      </c>
      <c r="W119" s="2"/>
    </row>
    <row r="120" spans="1:23" ht="12.75" hidden="1" outlineLevel="1">
      <c r="A120" s="41" t="s">
        <v>47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3467810</v>
      </c>
      <c r="R120" s="45">
        <v>0</v>
      </c>
      <c r="S120" s="45">
        <f t="shared" si="19"/>
        <v>3467810</v>
      </c>
      <c r="T120" s="45">
        <v>2252200</v>
      </c>
      <c r="U120" s="45">
        <f t="shared" si="20"/>
        <v>1215610</v>
      </c>
      <c r="V120" s="62">
        <v>9.6</v>
      </c>
      <c r="W120" s="2"/>
    </row>
    <row r="121" spans="1:23" ht="12.75" hidden="1" outlineLevel="1">
      <c r="A121" s="41" t="s">
        <v>48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18719866</v>
      </c>
      <c r="O121" s="45">
        <v>0</v>
      </c>
      <c r="P121" s="45">
        <v>0</v>
      </c>
      <c r="Q121" s="45">
        <v>1046400</v>
      </c>
      <c r="R121" s="45">
        <v>0</v>
      </c>
      <c r="S121" s="45">
        <f t="shared" si="19"/>
        <v>19766266</v>
      </c>
      <c r="T121" s="45">
        <v>9828006</v>
      </c>
      <c r="U121" s="45">
        <f t="shared" si="20"/>
        <v>9938260</v>
      </c>
      <c r="V121" s="62">
        <v>101.1</v>
      </c>
      <c r="W121" s="2"/>
    </row>
    <row r="122" spans="1:23" ht="12.75" hidden="1" outlineLevel="1">
      <c r="A122" s="41" t="s">
        <v>49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427820</v>
      </c>
      <c r="P122" s="45">
        <v>0</v>
      </c>
      <c r="Q122" s="45">
        <v>0</v>
      </c>
      <c r="R122" s="45">
        <v>0</v>
      </c>
      <c r="S122" s="45">
        <f t="shared" si="19"/>
        <v>427820</v>
      </c>
      <c r="T122" s="45">
        <v>230900</v>
      </c>
      <c r="U122" s="45">
        <f t="shared" si="20"/>
        <v>196920</v>
      </c>
      <c r="V122" s="62">
        <v>85.3</v>
      </c>
      <c r="W122" s="2"/>
    </row>
    <row r="123" spans="1:23" ht="12.75" hidden="1" outlineLevel="1">
      <c r="A123" s="41" t="s">
        <v>50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2331000</v>
      </c>
      <c r="R123" s="45">
        <v>0</v>
      </c>
      <c r="S123" s="45">
        <f t="shared" si="19"/>
        <v>2331000</v>
      </c>
      <c r="T123" s="45">
        <v>2907000</v>
      </c>
      <c r="U123" s="45">
        <f t="shared" si="20"/>
        <v>-576000</v>
      </c>
      <c r="V123" s="62">
        <v>-19.8</v>
      </c>
      <c r="W123" s="2"/>
    </row>
    <row r="124" spans="1:23" ht="12.75" hidden="1" outlineLevel="1">
      <c r="A124" s="41" t="s">
        <v>51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970000</v>
      </c>
      <c r="R124" s="45">
        <v>0</v>
      </c>
      <c r="S124" s="45">
        <f t="shared" si="19"/>
        <v>970000</v>
      </c>
      <c r="T124" s="45">
        <v>2921754</v>
      </c>
      <c r="U124" s="45">
        <f t="shared" si="20"/>
        <v>-1951754</v>
      </c>
      <c r="V124" s="62">
        <v>-66.8</v>
      </c>
      <c r="W124" s="2"/>
    </row>
    <row r="125" spans="1:23" ht="12.75" hidden="1" outlineLevel="1">
      <c r="A125" s="41" t="s">
        <v>52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12940000</v>
      </c>
      <c r="R125" s="45">
        <v>0</v>
      </c>
      <c r="S125" s="45">
        <f t="shared" si="19"/>
        <v>12940000</v>
      </c>
      <c r="T125" s="45">
        <v>20675000</v>
      </c>
      <c r="U125" s="45">
        <f t="shared" si="20"/>
        <v>-7735000</v>
      </c>
      <c r="V125" s="62">
        <v>-37.4</v>
      </c>
      <c r="W125" s="2"/>
    </row>
    <row r="126" spans="1:23" ht="12.75" hidden="1" outlineLevel="1">
      <c r="A126" s="41" t="s">
        <v>53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3115000</v>
      </c>
      <c r="R126" s="45">
        <v>0</v>
      </c>
      <c r="S126" s="45">
        <f t="shared" si="19"/>
        <v>3115000</v>
      </c>
      <c r="T126" s="45">
        <v>4330000</v>
      </c>
      <c r="U126" s="45">
        <f t="shared" si="20"/>
        <v>-1215000</v>
      </c>
      <c r="V126" s="62">
        <v>-28.1</v>
      </c>
      <c r="W126" s="2"/>
    </row>
    <row r="127" spans="1:23" ht="12.75" hidden="1" outlineLevel="1">
      <c r="A127" s="41" t="s">
        <v>54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49595</v>
      </c>
      <c r="N127" s="45">
        <v>0</v>
      </c>
      <c r="O127" s="45">
        <v>459556</v>
      </c>
      <c r="P127" s="45">
        <v>0</v>
      </c>
      <c r="Q127" s="45">
        <v>0</v>
      </c>
      <c r="R127" s="45">
        <v>0</v>
      </c>
      <c r="S127" s="45">
        <f t="shared" si="19"/>
        <v>509151</v>
      </c>
      <c r="T127" s="45">
        <v>37664</v>
      </c>
      <c r="U127" s="45">
        <f t="shared" si="20"/>
        <v>471487</v>
      </c>
      <c r="V127" s="62">
        <v>1251.8</v>
      </c>
      <c r="W127" s="2"/>
    </row>
    <row r="128" spans="1:23" ht="12.75" hidden="1" outlineLevel="1">
      <c r="A128" s="41" t="s">
        <v>55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124978</v>
      </c>
      <c r="M128" s="45">
        <v>55822</v>
      </c>
      <c r="N128" s="45">
        <v>0</v>
      </c>
      <c r="O128" s="45">
        <v>99850</v>
      </c>
      <c r="P128" s="45">
        <v>0</v>
      </c>
      <c r="Q128" s="45">
        <v>0</v>
      </c>
      <c r="R128" s="45">
        <v>0</v>
      </c>
      <c r="S128" s="45">
        <f t="shared" si="19"/>
        <v>280650</v>
      </c>
      <c r="T128" s="45">
        <v>309415</v>
      </c>
      <c r="U128" s="45">
        <f t="shared" si="20"/>
        <v>-28765</v>
      </c>
      <c r="V128" s="62">
        <v>-9.3</v>
      </c>
      <c r="W128" s="2"/>
    </row>
    <row r="129" spans="1:23" ht="12.75" hidden="1" outlineLevel="1">
      <c r="A129" s="41" t="s">
        <v>56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1774172</v>
      </c>
      <c r="S129" s="45">
        <f t="shared" si="19"/>
        <v>1774172</v>
      </c>
      <c r="T129" s="45">
        <v>1389562</v>
      </c>
      <c r="U129" s="45">
        <f t="shared" si="20"/>
        <v>384610</v>
      </c>
      <c r="V129" s="62">
        <v>27.7</v>
      </c>
      <c r="W129" s="2"/>
    </row>
    <row r="130" spans="1:23" ht="12.75" hidden="1" outlineLevel="1">
      <c r="A130" s="41" t="s">
        <v>57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100</v>
      </c>
      <c r="I130" s="45">
        <v>0</v>
      </c>
      <c r="J130" s="45">
        <v>0</v>
      </c>
      <c r="K130" s="45">
        <v>0</v>
      </c>
      <c r="L130" s="45">
        <v>0</v>
      </c>
      <c r="M130" s="45">
        <v>10380854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f t="shared" si="19"/>
        <v>10380954</v>
      </c>
      <c r="T130" s="45">
        <v>9710477</v>
      </c>
      <c r="U130" s="45">
        <f t="shared" si="20"/>
        <v>670477</v>
      </c>
      <c r="V130" s="62">
        <v>6.9</v>
      </c>
      <c r="W130" s="2"/>
    </row>
    <row r="131" spans="1:23" ht="12.75" hidden="1" outlineLevel="1">
      <c r="A131" s="41" t="s">
        <v>58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1364758</v>
      </c>
      <c r="O131" s="45">
        <v>0</v>
      </c>
      <c r="P131" s="45">
        <v>0</v>
      </c>
      <c r="Q131" s="45">
        <v>0</v>
      </c>
      <c r="R131" s="45">
        <v>0</v>
      </c>
      <c r="S131" s="45">
        <f t="shared" si="19"/>
        <v>1364758</v>
      </c>
      <c r="T131" s="45">
        <v>927703</v>
      </c>
      <c r="U131" s="45">
        <f t="shared" si="20"/>
        <v>437055</v>
      </c>
      <c r="V131" s="62">
        <v>47.1</v>
      </c>
      <c r="W131" s="2"/>
    </row>
    <row r="132" spans="1:23" ht="12.75" hidden="1" outlineLevel="1">
      <c r="A132" s="41" t="s">
        <v>60</v>
      </c>
      <c r="B132" s="45">
        <v>0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40416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f t="shared" si="19"/>
        <v>40416</v>
      </c>
      <c r="T132" s="45">
        <v>0</v>
      </c>
      <c r="U132" s="45">
        <f t="shared" si="20"/>
        <v>40416</v>
      </c>
      <c r="V132" s="62">
        <v>100</v>
      </c>
      <c r="W132" s="2"/>
    </row>
    <row r="133" spans="1:23" ht="12.75" hidden="1" outlineLevel="1">
      <c r="A133" s="41" t="s">
        <v>59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v>157820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f t="shared" si="19"/>
        <v>157820</v>
      </c>
      <c r="T133" s="45">
        <v>138856</v>
      </c>
      <c r="U133" s="45">
        <f t="shared" si="20"/>
        <v>18964</v>
      </c>
      <c r="V133" s="62">
        <v>13.7</v>
      </c>
      <c r="W133" s="2"/>
    </row>
    <row r="134" spans="1:23" ht="12.75" hidden="1" outlineLevel="1">
      <c r="A134" s="41" t="s">
        <v>61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1426601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f t="shared" si="19"/>
        <v>1426601</v>
      </c>
      <c r="T134" s="45">
        <v>984027</v>
      </c>
      <c r="U134" s="45">
        <f t="shared" si="20"/>
        <v>442574</v>
      </c>
      <c r="V134" s="62">
        <v>45</v>
      </c>
      <c r="W134" s="2"/>
    </row>
    <row r="135" spans="1:23" ht="12.75" hidden="1" outlineLevel="1">
      <c r="A135" s="41" t="s">
        <v>62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1019697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f t="shared" si="19"/>
        <v>1019697</v>
      </c>
      <c r="T135" s="45">
        <v>433554</v>
      </c>
      <c r="U135" s="45">
        <f t="shared" si="20"/>
        <v>586143</v>
      </c>
      <c r="V135" s="62">
        <v>135.2</v>
      </c>
      <c r="W135" s="2"/>
    </row>
    <row r="136" spans="1:23" ht="12.75" hidden="1" outlineLevel="1">
      <c r="A136" s="41" t="s">
        <v>63</v>
      </c>
      <c r="B136" s="45">
        <v>280</v>
      </c>
      <c r="C136" s="45">
        <v>15246</v>
      </c>
      <c r="D136" s="45">
        <v>0</v>
      </c>
      <c r="E136" s="45">
        <v>0</v>
      </c>
      <c r="F136" s="45">
        <v>0</v>
      </c>
      <c r="G136" s="45">
        <v>81057</v>
      </c>
      <c r="H136" s="45">
        <v>0</v>
      </c>
      <c r="I136" s="45">
        <v>0</v>
      </c>
      <c r="J136" s="45">
        <v>64988</v>
      </c>
      <c r="K136" s="45">
        <v>1003733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7636</v>
      </c>
      <c r="S136" s="45">
        <f t="shared" si="19"/>
        <v>1172940</v>
      </c>
      <c r="T136" s="45">
        <v>737453</v>
      </c>
      <c r="U136" s="45">
        <f t="shared" si="20"/>
        <v>435487</v>
      </c>
      <c r="V136" s="62">
        <v>59.1</v>
      </c>
      <c r="W136" s="2"/>
    </row>
    <row r="137" spans="1:23" ht="12.75" hidden="1" outlineLevel="1">
      <c r="A137" s="41" t="s">
        <v>64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1752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f t="shared" si="19"/>
        <v>1752</v>
      </c>
      <c r="T137" s="45">
        <v>1568</v>
      </c>
      <c r="U137" s="45">
        <f t="shared" si="20"/>
        <v>184</v>
      </c>
      <c r="V137" s="62">
        <v>11.7</v>
      </c>
      <c r="W137" s="2"/>
    </row>
    <row r="138" spans="1:23" ht="12.75" hidden="1" outlineLevel="1">
      <c r="A138" s="41" t="s">
        <v>65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1122</v>
      </c>
      <c r="K138" s="45">
        <v>8177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f t="shared" si="19"/>
        <v>9299</v>
      </c>
      <c r="T138" s="45">
        <v>8259</v>
      </c>
      <c r="U138" s="45">
        <f t="shared" si="20"/>
        <v>1040</v>
      </c>
      <c r="V138" s="62">
        <v>12.6</v>
      </c>
      <c r="W138" s="2"/>
    </row>
    <row r="139" spans="1:23" ht="12.75" hidden="1" outlineLevel="1">
      <c r="A139" s="41" t="s">
        <v>66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91960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f t="shared" si="19"/>
        <v>91960</v>
      </c>
      <c r="T139" s="45">
        <v>55936</v>
      </c>
      <c r="U139" s="45">
        <f t="shared" si="20"/>
        <v>36024</v>
      </c>
      <c r="V139" s="62">
        <v>64.4</v>
      </c>
      <c r="W139" s="2"/>
    </row>
    <row r="140" spans="1:23" ht="12.75" hidden="1" outlineLevel="1">
      <c r="A140" s="41" t="s">
        <v>67</v>
      </c>
      <c r="B140" s="45">
        <v>14776</v>
      </c>
      <c r="C140" s="45">
        <v>14760</v>
      </c>
      <c r="D140" s="45">
        <v>15430</v>
      </c>
      <c r="E140" s="45">
        <v>5743</v>
      </c>
      <c r="F140" s="45">
        <v>5835</v>
      </c>
      <c r="G140" s="45">
        <v>6371</v>
      </c>
      <c r="H140" s="45">
        <v>11381</v>
      </c>
      <c r="I140" s="45">
        <v>12869</v>
      </c>
      <c r="J140" s="45">
        <v>14670</v>
      </c>
      <c r="K140" s="45">
        <v>55010</v>
      </c>
      <c r="L140" s="45">
        <v>0</v>
      </c>
      <c r="M140" s="45">
        <v>19916</v>
      </c>
      <c r="N140" s="45">
        <v>25853</v>
      </c>
      <c r="O140" s="45">
        <v>38050</v>
      </c>
      <c r="P140" s="45">
        <v>31579</v>
      </c>
      <c r="Q140" s="45">
        <v>11711</v>
      </c>
      <c r="R140" s="45">
        <v>18449</v>
      </c>
      <c r="S140" s="45">
        <f t="shared" si="19"/>
        <v>302403</v>
      </c>
      <c r="T140" s="45">
        <v>264981</v>
      </c>
      <c r="U140" s="45">
        <f t="shared" si="20"/>
        <v>37422</v>
      </c>
      <c r="V140" s="62">
        <v>14.1</v>
      </c>
      <c r="W140" s="2"/>
    </row>
    <row r="141" spans="1:23" ht="12.75" hidden="1" outlineLevel="1">
      <c r="A141" s="41" t="s">
        <v>68</v>
      </c>
      <c r="B141" s="45">
        <v>3418</v>
      </c>
      <c r="C141" s="45">
        <v>50093</v>
      </c>
      <c r="D141" s="45">
        <v>8500</v>
      </c>
      <c r="E141" s="45">
        <v>2921</v>
      </c>
      <c r="F141" s="45">
        <v>740</v>
      </c>
      <c r="G141" s="45">
        <v>8440</v>
      </c>
      <c r="H141" s="45">
        <v>5060</v>
      </c>
      <c r="I141" s="45">
        <v>77763</v>
      </c>
      <c r="J141" s="45">
        <v>87452</v>
      </c>
      <c r="K141" s="45">
        <v>28155</v>
      </c>
      <c r="L141" s="45">
        <v>1120</v>
      </c>
      <c r="M141" s="45">
        <v>104469</v>
      </c>
      <c r="N141" s="45">
        <v>6062</v>
      </c>
      <c r="O141" s="45">
        <v>22915</v>
      </c>
      <c r="P141" s="45">
        <v>11278</v>
      </c>
      <c r="Q141" s="45">
        <v>3855</v>
      </c>
      <c r="R141" s="45">
        <v>5424</v>
      </c>
      <c r="S141" s="45">
        <f t="shared" si="19"/>
        <v>427665</v>
      </c>
      <c r="T141" s="45">
        <v>262985</v>
      </c>
      <c r="U141" s="45">
        <f t="shared" si="20"/>
        <v>164680</v>
      </c>
      <c r="V141" s="62">
        <v>62.6</v>
      </c>
      <c r="W141" s="2"/>
    </row>
    <row r="142" spans="1:23" ht="12.75" hidden="1" outlineLevel="1">
      <c r="A142" s="41" t="s">
        <v>69</v>
      </c>
      <c r="B142" s="45">
        <v>10505</v>
      </c>
      <c r="C142" s="45">
        <v>9187</v>
      </c>
      <c r="D142" s="45">
        <v>0</v>
      </c>
      <c r="E142" s="45">
        <v>5228</v>
      </c>
      <c r="F142" s="45">
        <v>2816</v>
      </c>
      <c r="G142" s="45">
        <v>87669</v>
      </c>
      <c r="H142" s="45">
        <v>12216</v>
      </c>
      <c r="I142" s="45">
        <v>3423</v>
      </c>
      <c r="J142" s="45">
        <v>25705</v>
      </c>
      <c r="K142" s="45">
        <v>2960</v>
      </c>
      <c r="L142" s="45">
        <v>0</v>
      </c>
      <c r="M142" s="45">
        <v>67793</v>
      </c>
      <c r="N142" s="45">
        <v>118801</v>
      </c>
      <c r="O142" s="45">
        <v>67775</v>
      </c>
      <c r="P142" s="45">
        <v>3053</v>
      </c>
      <c r="Q142" s="45">
        <v>6283</v>
      </c>
      <c r="R142" s="45">
        <v>33614</v>
      </c>
      <c r="S142" s="45">
        <f t="shared" si="19"/>
        <v>457028</v>
      </c>
      <c r="T142" s="45">
        <v>406374</v>
      </c>
      <c r="U142" s="45">
        <f t="shared" si="20"/>
        <v>50654</v>
      </c>
      <c r="V142" s="62">
        <v>12.5</v>
      </c>
      <c r="W142" s="2"/>
    </row>
    <row r="143" spans="1:23" ht="12.75" hidden="1" outlineLevel="1">
      <c r="A143" s="41" t="s">
        <v>70</v>
      </c>
      <c r="B143" s="45">
        <v>644</v>
      </c>
      <c r="C143" s="45">
        <v>0</v>
      </c>
      <c r="D143" s="45">
        <v>0</v>
      </c>
      <c r="E143" s="45">
        <v>0</v>
      </c>
      <c r="F143" s="45">
        <v>0</v>
      </c>
      <c r="G143" s="45">
        <v>0</v>
      </c>
      <c r="H143" s="45">
        <v>801</v>
      </c>
      <c r="I143" s="45">
        <v>0</v>
      </c>
      <c r="J143" s="45">
        <v>3892</v>
      </c>
      <c r="K143" s="45">
        <v>0</v>
      </c>
      <c r="L143" s="45">
        <v>0</v>
      </c>
      <c r="M143" s="45">
        <v>0</v>
      </c>
      <c r="N143" s="45">
        <v>0</v>
      </c>
      <c r="O143" s="45">
        <v>20490</v>
      </c>
      <c r="P143" s="45">
        <v>0</v>
      </c>
      <c r="Q143" s="45">
        <v>600</v>
      </c>
      <c r="R143" s="45">
        <v>0</v>
      </c>
      <c r="S143" s="45">
        <f t="shared" si="19"/>
        <v>26427</v>
      </c>
      <c r="T143" s="45">
        <v>32699</v>
      </c>
      <c r="U143" s="45">
        <f t="shared" si="20"/>
        <v>-6272</v>
      </c>
      <c r="V143" s="62">
        <v>-19.2</v>
      </c>
      <c r="W143" s="2"/>
    </row>
    <row r="144" spans="1:23" ht="12.75" hidden="1" outlineLevel="1">
      <c r="A144" s="41" t="s">
        <v>71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6594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12030780</v>
      </c>
      <c r="N144" s="45">
        <v>0</v>
      </c>
      <c r="O144" s="45">
        <v>133000</v>
      </c>
      <c r="P144" s="45">
        <v>0</v>
      </c>
      <c r="Q144" s="45">
        <v>0</v>
      </c>
      <c r="R144" s="45">
        <v>0</v>
      </c>
      <c r="S144" s="45">
        <f t="shared" si="19"/>
        <v>12170374</v>
      </c>
      <c r="T144" s="45">
        <v>11917843</v>
      </c>
      <c r="U144" s="45">
        <f t="shared" si="20"/>
        <v>252531</v>
      </c>
      <c r="V144" s="62">
        <v>2.1</v>
      </c>
      <c r="W144" s="2"/>
    </row>
    <row r="145" spans="1:23" ht="12.75" hidden="1" outlineLevel="1">
      <c r="A145" s="41" t="s">
        <v>72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6182</v>
      </c>
      <c r="S145" s="45">
        <f t="shared" si="19"/>
        <v>6182</v>
      </c>
      <c r="T145" s="45">
        <v>5730</v>
      </c>
      <c r="U145" s="45">
        <f t="shared" si="20"/>
        <v>452</v>
      </c>
      <c r="V145" s="62">
        <v>7.9</v>
      </c>
      <c r="W145" s="2"/>
    </row>
    <row r="146" spans="1:23" ht="12.75" hidden="1" outlineLevel="1">
      <c r="A146" s="41" t="s">
        <v>73</v>
      </c>
      <c r="B146" s="45">
        <v>8335</v>
      </c>
      <c r="C146" s="45">
        <v>876</v>
      </c>
      <c r="D146" s="45">
        <v>2842</v>
      </c>
      <c r="E146" s="45">
        <v>680</v>
      </c>
      <c r="F146" s="45">
        <v>2489</v>
      </c>
      <c r="G146" s="45">
        <v>5065</v>
      </c>
      <c r="H146" s="45">
        <v>2828</v>
      </c>
      <c r="I146" s="45">
        <v>42129</v>
      </c>
      <c r="J146" s="45">
        <v>4524</v>
      </c>
      <c r="K146" s="45">
        <v>6967</v>
      </c>
      <c r="L146" s="45">
        <v>61091</v>
      </c>
      <c r="M146" s="45">
        <v>181065</v>
      </c>
      <c r="N146" s="45">
        <v>191839</v>
      </c>
      <c r="O146" s="45">
        <v>21100</v>
      </c>
      <c r="P146" s="45">
        <v>1011</v>
      </c>
      <c r="Q146" s="45">
        <v>1790</v>
      </c>
      <c r="R146" s="45">
        <v>14394</v>
      </c>
      <c r="S146" s="45">
        <f t="shared" si="19"/>
        <v>549025</v>
      </c>
      <c r="T146" s="45">
        <v>528919</v>
      </c>
      <c r="U146" s="45">
        <f t="shared" si="20"/>
        <v>20106</v>
      </c>
      <c r="V146" s="62">
        <v>3.8</v>
      </c>
      <c r="W146" s="2"/>
    </row>
    <row r="147" spans="1:23" ht="12.75" hidden="1" outlineLevel="1">
      <c r="A147" s="41" t="s">
        <v>74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2798</v>
      </c>
      <c r="L147" s="45">
        <v>0</v>
      </c>
      <c r="M147" s="45">
        <v>0</v>
      </c>
      <c r="N147" s="45">
        <v>79121</v>
      </c>
      <c r="O147" s="45">
        <v>3937862</v>
      </c>
      <c r="P147" s="45">
        <v>0</v>
      </c>
      <c r="Q147" s="45">
        <v>0</v>
      </c>
      <c r="R147" s="45">
        <v>99216</v>
      </c>
      <c r="S147" s="45">
        <f t="shared" si="19"/>
        <v>4118997</v>
      </c>
      <c r="T147" s="45">
        <v>3063969</v>
      </c>
      <c r="U147" s="45">
        <f t="shared" si="20"/>
        <v>1055028</v>
      </c>
      <c r="V147" s="62">
        <v>34.4</v>
      </c>
      <c r="W147" s="2"/>
    </row>
    <row r="148" spans="1:23" ht="12.75" hidden="1" outlineLevel="1">
      <c r="A148" s="41" t="s">
        <v>75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1057250</v>
      </c>
      <c r="P148" s="45">
        <v>0</v>
      </c>
      <c r="Q148" s="45">
        <v>0</v>
      </c>
      <c r="R148" s="45">
        <v>0</v>
      </c>
      <c r="S148" s="45">
        <f t="shared" si="19"/>
        <v>1057250</v>
      </c>
      <c r="T148" s="45">
        <v>1085400</v>
      </c>
      <c r="U148" s="45">
        <f t="shared" si="20"/>
        <v>-28150</v>
      </c>
      <c r="V148" s="62">
        <v>-2.6</v>
      </c>
      <c r="W148" s="2"/>
    </row>
    <row r="149" spans="1:23" ht="12.75" hidden="1" outlineLevel="1">
      <c r="A149" s="41" t="s">
        <v>76</v>
      </c>
      <c r="B149" s="45">
        <v>537</v>
      </c>
      <c r="C149" s="45">
        <v>274</v>
      </c>
      <c r="D149" s="45">
        <v>1099</v>
      </c>
      <c r="E149" s="45">
        <v>443</v>
      </c>
      <c r="F149" s="45">
        <v>192</v>
      </c>
      <c r="G149" s="45">
        <v>752</v>
      </c>
      <c r="H149" s="45">
        <v>19</v>
      </c>
      <c r="I149" s="45">
        <v>537</v>
      </c>
      <c r="J149" s="45">
        <v>140</v>
      </c>
      <c r="K149" s="45">
        <v>332</v>
      </c>
      <c r="L149" s="45">
        <v>0</v>
      </c>
      <c r="M149" s="45">
        <v>1144</v>
      </c>
      <c r="N149" s="45">
        <v>0</v>
      </c>
      <c r="O149" s="45">
        <v>300</v>
      </c>
      <c r="P149" s="45">
        <v>215</v>
      </c>
      <c r="Q149" s="45">
        <v>456</v>
      </c>
      <c r="R149" s="45">
        <v>171</v>
      </c>
      <c r="S149" s="45">
        <f t="shared" si="19"/>
        <v>6611</v>
      </c>
      <c r="T149" s="45">
        <v>5954</v>
      </c>
      <c r="U149" s="45">
        <f t="shared" si="20"/>
        <v>657</v>
      </c>
      <c r="V149" s="62">
        <v>11</v>
      </c>
      <c r="W149" s="2"/>
    </row>
    <row r="150" spans="1:23" ht="12.75" hidden="1" outlineLevel="1">
      <c r="A150" s="41" t="s">
        <v>77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1969500</v>
      </c>
      <c r="O150" s="45">
        <v>0</v>
      </c>
      <c r="P150" s="45">
        <v>0</v>
      </c>
      <c r="Q150" s="45">
        <v>0</v>
      </c>
      <c r="R150" s="45">
        <v>0</v>
      </c>
      <c r="S150" s="45">
        <f t="shared" si="19"/>
        <v>1969500</v>
      </c>
      <c r="T150" s="45">
        <v>1939500</v>
      </c>
      <c r="U150" s="45">
        <f t="shared" si="20"/>
        <v>30000</v>
      </c>
      <c r="V150" s="62">
        <v>1.5</v>
      </c>
      <c r="W150" s="2"/>
    </row>
    <row r="151" spans="1:23" ht="12.75" hidden="1" outlineLevel="1">
      <c r="A151" s="41" t="s">
        <v>78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992000</v>
      </c>
      <c r="P151" s="45">
        <v>0</v>
      </c>
      <c r="Q151" s="45">
        <v>0</v>
      </c>
      <c r="R151" s="45">
        <v>0</v>
      </c>
      <c r="S151" s="45">
        <f t="shared" si="19"/>
        <v>992000</v>
      </c>
      <c r="T151" s="45">
        <v>1162505</v>
      </c>
      <c r="U151" s="45">
        <f t="shared" si="20"/>
        <v>-170505</v>
      </c>
      <c r="V151" s="62">
        <v>-14.7</v>
      </c>
      <c r="W151" s="2"/>
    </row>
    <row r="152" spans="1:23" ht="12.75" hidden="1" outlineLevel="1">
      <c r="A152" s="41" t="s">
        <v>79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722590</v>
      </c>
      <c r="P152" s="45">
        <v>0</v>
      </c>
      <c r="Q152" s="45">
        <v>0</v>
      </c>
      <c r="R152" s="45">
        <v>0</v>
      </c>
      <c r="S152" s="45">
        <f t="shared" si="19"/>
        <v>722590</v>
      </c>
      <c r="T152" s="45">
        <v>600000</v>
      </c>
      <c r="U152" s="45">
        <f t="shared" si="20"/>
        <v>122590</v>
      </c>
      <c r="V152" s="62">
        <v>20.4</v>
      </c>
      <c r="W152" s="2"/>
    </row>
    <row r="153" spans="1:23" ht="12.75" hidden="1" outlineLevel="1">
      <c r="A153" s="41" t="s">
        <v>80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70600</v>
      </c>
      <c r="P153" s="45">
        <v>0</v>
      </c>
      <c r="Q153" s="45">
        <v>0</v>
      </c>
      <c r="R153" s="45">
        <v>0</v>
      </c>
      <c r="S153" s="45">
        <f t="shared" si="19"/>
        <v>70600</v>
      </c>
      <c r="T153" s="45">
        <v>70600</v>
      </c>
      <c r="U153" s="45">
        <f t="shared" si="20"/>
        <v>0</v>
      </c>
      <c r="V153" s="62">
        <v>0</v>
      </c>
      <c r="W153" s="2"/>
    </row>
    <row r="154" spans="1:23" ht="12.75" hidden="1" outlineLevel="1">
      <c r="A154" s="41" t="s">
        <v>81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2464256</v>
      </c>
      <c r="P154" s="45">
        <v>0</v>
      </c>
      <c r="Q154" s="45">
        <v>0</v>
      </c>
      <c r="R154" s="45">
        <v>0</v>
      </c>
      <c r="S154" s="45">
        <f t="shared" si="19"/>
        <v>2464256</v>
      </c>
      <c r="T154" s="45">
        <v>2200000</v>
      </c>
      <c r="U154" s="45">
        <f t="shared" si="20"/>
        <v>264256</v>
      </c>
      <c r="V154" s="62">
        <v>12</v>
      </c>
      <c r="W154" s="2"/>
    </row>
    <row r="155" spans="1:23" ht="12.75" hidden="1" outlineLevel="1">
      <c r="A155" s="41" t="s">
        <v>82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1600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f t="shared" si="19"/>
        <v>1600</v>
      </c>
      <c r="T155" s="45">
        <v>1430</v>
      </c>
      <c r="U155" s="45">
        <f t="shared" si="20"/>
        <v>170</v>
      </c>
      <c r="V155" s="62">
        <v>11.9</v>
      </c>
      <c r="W155" s="2"/>
    </row>
    <row r="156" spans="1:23" ht="12.75" hidden="1" outlineLevel="1">
      <c r="A156" s="41" t="s">
        <v>83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10261333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f t="shared" si="19"/>
        <v>10261333</v>
      </c>
      <c r="T156" s="45">
        <v>9400237</v>
      </c>
      <c r="U156" s="45">
        <f t="shared" si="20"/>
        <v>861096</v>
      </c>
      <c r="V156" s="62">
        <v>9.2</v>
      </c>
      <c r="W156" s="2"/>
    </row>
    <row r="157" spans="1:23" ht="12.75" hidden="1" outlineLevel="1">
      <c r="A157" s="41" t="s">
        <v>84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151525</v>
      </c>
      <c r="P157" s="45">
        <v>0</v>
      </c>
      <c r="Q157" s="45">
        <v>0</v>
      </c>
      <c r="R157" s="45">
        <v>75000</v>
      </c>
      <c r="S157" s="45">
        <f t="shared" si="19"/>
        <v>226525</v>
      </c>
      <c r="T157" s="45">
        <v>235509</v>
      </c>
      <c r="U157" s="45">
        <f t="shared" si="20"/>
        <v>-8984</v>
      </c>
      <c r="V157" s="62">
        <v>-3.8</v>
      </c>
      <c r="W157" s="2"/>
    </row>
    <row r="158" spans="1:23" ht="12.75" hidden="1" outlineLevel="1">
      <c r="A158" s="41" t="s">
        <v>85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943789</v>
      </c>
      <c r="P158" s="45">
        <v>0</v>
      </c>
      <c r="Q158" s="45">
        <v>0</v>
      </c>
      <c r="R158" s="45">
        <v>0</v>
      </c>
      <c r="S158" s="45">
        <f t="shared" si="19"/>
        <v>943789</v>
      </c>
      <c r="T158" s="45">
        <v>544100</v>
      </c>
      <c r="U158" s="45">
        <f t="shared" si="20"/>
        <v>399689</v>
      </c>
      <c r="V158" s="62">
        <v>73.5</v>
      </c>
      <c r="W158" s="2"/>
    </row>
    <row r="159" spans="1:23" ht="12.75" hidden="1" outlineLevel="1">
      <c r="A159" s="41" t="s">
        <v>86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2098293</v>
      </c>
      <c r="P159" s="45">
        <v>0</v>
      </c>
      <c r="Q159" s="45">
        <v>0</v>
      </c>
      <c r="R159" s="45">
        <v>0</v>
      </c>
      <c r="S159" s="45">
        <f t="shared" si="19"/>
        <v>2098293</v>
      </c>
      <c r="T159" s="45">
        <v>1367046</v>
      </c>
      <c r="U159" s="45">
        <f t="shared" si="20"/>
        <v>731247</v>
      </c>
      <c r="V159" s="62">
        <v>53.5</v>
      </c>
      <c r="W159" s="2"/>
    </row>
    <row r="160" spans="1:23" ht="12.75" hidden="1" outlineLevel="1">
      <c r="A160" s="41" t="s">
        <v>87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23335000</v>
      </c>
      <c r="O160" s="45">
        <v>0</v>
      </c>
      <c r="P160" s="45">
        <v>0</v>
      </c>
      <c r="Q160" s="45">
        <v>0</v>
      </c>
      <c r="R160" s="45">
        <v>20000</v>
      </c>
      <c r="S160" s="45">
        <f t="shared" si="19"/>
        <v>23355000</v>
      </c>
      <c r="T160" s="45">
        <v>9372000</v>
      </c>
      <c r="U160" s="45">
        <f t="shared" si="20"/>
        <v>13983000</v>
      </c>
      <c r="V160" s="62">
        <v>149.2</v>
      </c>
      <c r="W160" s="2"/>
    </row>
    <row r="161" spans="1:23" ht="12.75" hidden="1" outlineLevel="1">
      <c r="A161" s="41" t="s">
        <v>88</v>
      </c>
      <c r="B161" s="45">
        <v>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43805086</v>
      </c>
      <c r="O161" s="45">
        <v>0</v>
      </c>
      <c r="P161" s="45">
        <v>0</v>
      </c>
      <c r="Q161" s="45">
        <v>0</v>
      </c>
      <c r="R161" s="45">
        <v>0</v>
      </c>
      <c r="S161" s="45">
        <f t="shared" si="19"/>
        <v>43805086</v>
      </c>
      <c r="T161" s="45">
        <v>31281608</v>
      </c>
      <c r="U161" s="45">
        <f t="shared" si="20"/>
        <v>12523478</v>
      </c>
      <c r="V161" s="62">
        <v>40</v>
      </c>
      <c r="W161" s="2"/>
    </row>
    <row r="162" spans="1:23" ht="12.75" hidden="1" outlineLevel="1">
      <c r="A162" s="41" t="s">
        <v>89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1979</v>
      </c>
      <c r="L162" s="45">
        <v>0</v>
      </c>
      <c r="M162" s="45">
        <v>28257</v>
      </c>
      <c r="N162" s="45">
        <v>0</v>
      </c>
      <c r="O162" s="45">
        <v>189600</v>
      </c>
      <c r="P162" s="45">
        <v>0</v>
      </c>
      <c r="Q162" s="45">
        <v>0</v>
      </c>
      <c r="R162" s="45">
        <v>87054</v>
      </c>
      <c r="S162" s="45">
        <f t="shared" si="19"/>
        <v>306890</v>
      </c>
      <c r="T162" s="45">
        <v>268553</v>
      </c>
      <c r="U162" s="45">
        <f t="shared" si="20"/>
        <v>38337</v>
      </c>
      <c r="V162" s="62">
        <v>14.3</v>
      </c>
      <c r="W162" s="2"/>
    </row>
    <row r="163" spans="1:23" ht="12.75" hidden="1" outlineLevel="1">
      <c r="A163" s="41" t="s">
        <v>90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5280000</v>
      </c>
      <c r="P163" s="45">
        <v>0</v>
      </c>
      <c r="Q163" s="45">
        <v>0</v>
      </c>
      <c r="R163" s="45">
        <v>0</v>
      </c>
      <c r="S163" s="45">
        <f t="shared" si="19"/>
        <v>5280000</v>
      </c>
      <c r="T163" s="45">
        <v>4675000</v>
      </c>
      <c r="U163" s="45">
        <f t="shared" si="20"/>
        <v>605000</v>
      </c>
      <c r="V163" s="62">
        <v>12.9</v>
      </c>
      <c r="W163" s="2"/>
    </row>
    <row r="164" spans="1:23" ht="12.75" hidden="1" outlineLevel="1">
      <c r="A164" s="41" t="s">
        <v>91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6276896</v>
      </c>
      <c r="O164" s="45">
        <v>200000</v>
      </c>
      <c r="P164" s="45">
        <v>0</v>
      </c>
      <c r="Q164" s="45">
        <v>27480250</v>
      </c>
      <c r="R164" s="45">
        <v>2400000</v>
      </c>
      <c r="S164" s="45">
        <f aca="true" t="shared" si="21" ref="S164:S175">SUM(B164:R164)</f>
        <v>36357146</v>
      </c>
      <c r="T164" s="45">
        <v>38262800</v>
      </c>
      <c r="U164" s="45">
        <f aca="true" t="shared" si="22" ref="U164:U175">S164-T164</f>
        <v>-1905654</v>
      </c>
      <c r="V164" s="62">
        <v>-5</v>
      </c>
      <c r="W164" s="2"/>
    </row>
    <row r="165" spans="1:23" ht="12.75" hidden="1" outlineLevel="1">
      <c r="A165" s="41" t="s">
        <v>92</v>
      </c>
      <c r="B165" s="45">
        <v>0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3700000</v>
      </c>
      <c r="O165" s="45">
        <v>0</v>
      </c>
      <c r="P165" s="45">
        <v>0</v>
      </c>
      <c r="Q165" s="45">
        <v>0</v>
      </c>
      <c r="R165" s="45">
        <v>100000</v>
      </c>
      <c r="S165" s="45">
        <f t="shared" si="21"/>
        <v>3800000</v>
      </c>
      <c r="T165" s="45">
        <v>4400000</v>
      </c>
      <c r="U165" s="45">
        <f t="shared" si="22"/>
        <v>-600000</v>
      </c>
      <c r="V165" s="62">
        <v>-13.6</v>
      </c>
      <c r="W165" s="2"/>
    </row>
    <row r="166" spans="1:23" ht="12.75" hidden="1" outlineLevel="1">
      <c r="A166" s="41" t="s">
        <v>93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781355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f t="shared" si="21"/>
        <v>781355</v>
      </c>
      <c r="T166" s="45">
        <v>902968</v>
      </c>
      <c r="U166" s="45">
        <f t="shared" si="22"/>
        <v>-121613</v>
      </c>
      <c r="V166" s="62">
        <v>-13.5</v>
      </c>
      <c r="W166" s="2"/>
    </row>
    <row r="167" spans="1:23" ht="12.75" hidden="1" outlineLevel="1">
      <c r="A167" s="41" t="s">
        <v>94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19939979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f t="shared" si="21"/>
        <v>19939979</v>
      </c>
      <c r="T167" s="45">
        <v>17257181</v>
      </c>
      <c r="U167" s="45">
        <f t="shared" si="22"/>
        <v>2682798</v>
      </c>
      <c r="V167" s="62">
        <v>15.5</v>
      </c>
      <c r="W167" s="2"/>
    </row>
    <row r="168" spans="1:23" ht="12.75" hidden="1" outlineLevel="1">
      <c r="A168" s="41" t="s">
        <v>95</v>
      </c>
      <c r="B168" s="45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f t="shared" si="21"/>
        <v>0</v>
      </c>
      <c r="T168" s="45">
        <v>1050000</v>
      </c>
      <c r="U168" s="45">
        <f t="shared" si="22"/>
        <v>-1050000</v>
      </c>
      <c r="V168" s="62">
        <v>-100</v>
      </c>
      <c r="W168" s="2"/>
    </row>
    <row r="169" spans="1:23" ht="12.75" hidden="1" outlineLevel="1">
      <c r="A169" s="41" t="s">
        <v>97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2462413</v>
      </c>
      <c r="R169" s="45">
        <v>0</v>
      </c>
      <c r="S169" s="45">
        <f t="shared" si="21"/>
        <v>2462413</v>
      </c>
      <c r="T169" s="45">
        <v>1848360</v>
      </c>
      <c r="U169" s="45">
        <f t="shared" si="22"/>
        <v>614053</v>
      </c>
      <c r="V169" s="62">
        <v>33.2</v>
      </c>
      <c r="W169" s="2"/>
    </row>
    <row r="170" spans="1:23" ht="12.75" hidden="1" outlineLevel="1">
      <c r="A170" s="41" t="s">
        <v>98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6919344</v>
      </c>
      <c r="R170" s="45">
        <v>0</v>
      </c>
      <c r="S170" s="45">
        <f t="shared" si="21"/>
        <v>6919344</v>
      </c>
      <c r="T170" s="45">
        <v>6256500</v>
      </c>
      <c r="U170" s="45">
        <f t="shared" si="22"/>
        <v>662844</v>
      </c>
      <c r="V170" s="62">
        <v>12.8</v>
      </c>
      <c r="W170" s="2"/>
    </row>
    <row r="171" spans="1:23" ht="12.75" hidden="1" outlineLevel="1">
      <c r="A171" s="41" t="s">
        <v>99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1045968</v>
      </c>
      <c r="R171" s="45">
        <v>0</v>
      </c>
      <c r="S171" s="45">
        <f t="shared" si="21"/>
        <v>1045968</v>
      </c>
      <c r="T171" s="45">
        <v>270100</v>
      </c>
      <c r="U171" s="45">
        <f t="shared" si="22"/>
        <v>775868</v>
      </c>
      <c r="V171" s="62">
        <v>287.3</v>
      </c>
      <c r="W171" s="2"/>
    </row>
    <row r="172" spans="1:23" ht="12.75" hidden="1" outlineLevel="1">
      <c r="A172" s="41" t="s">
        <v>100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14661558</v>
      </c>
      <c r="R172" s="45">
        <v>0</v>
      </c>
      <c r="S172" s="45">
        <f t="shared" si="21"/>
        <v>14661558</v>
      </c>
      <c r="T172" s="45">
        <v>10122100</v>
      </c>
      <c r="U172" s="45">
        <f t="shared" si="22"/>
        <v>4539458</v>
      </c>
      <c r="V172" s="62">
        <v>44.8</v>
      </c>
      <c r="W172" s="2"/>
    </row>
    <row r="173" spans="1:23" ht="12.75" hidden="1" outlineLevel="1">
      <c r="A173" s="41" t="s">
        <v>101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75257094</v>
      </c>
      <c r="R173" s="45">
        <v>0</v>
      </c>
      <c r="S173" s="45">
        <f t="shared" si="21"/>
        <v>75257094</v>
      </c>
      <c r="T173" s="45">
        <v>108725300</v>
      </c>
      <c r="U173" s="45">
        <f t="shared" si="22"/>
        <v>-33468206</v>
      </c>
      <c r="V173" s="62">
        <v>-30.8</v>
      </c>
      <c r="W173" s="2"/>
    </row>
    <row r="174" spans="1:23" ht="12.75" hidden="1" outlineLevel="1">
      <c r="A174" s="41" t="s">
        <v>103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1159010</v>
      </c>
      <c r="R174" s="45">
        <v>0</v>
      </c>
      <c r="S174" s="45">
        <f t="shared" si="21"/>
        <v>1159010</v>
      </c>
      <c r="T174" s="45">
        <v>3091000</v>
      </c>
      <c r="U174" s="45">
        <f t="shared" si="22"/>
        <v>-1931990</v>
      </c>
      <c r="V174" s="62">
        <v>-62.5</v>
      </c>
      <c r="W174" s="2"/>
    </row>
    <row r="175" spans="1:23" ht="12.75" hidden="1" outlineLevel="1">
      <c r="A175" s="41" t="s">
        <v>104</v>
      </c>
      <c r="B175" s="45">
        <v>0</v>
      </c>
      <c r="C175" s="45">
        <v>0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1268707</v>
      </c>
      <c r="R175" s="45">
        <v>0</v>
      </c>
      <c r="S175" s="45">
        <f t="shared" si="21"/>
        <v>1268707</v>
      </c>
      <c r="T175" s="45">
        <v>3000000</v>
      </c>
      <c r="U175" s="45">
        <f t="shared" si="22"/>
        <v>-1731293</v>
      </c>
      <c r="V175" s="62">
        <v>-57.7</v>
      </c>
      <c r="W175" s="2"/>
    </row>
    <row r="176" spans="1:23" ht="13.5" hidden="1" outlineLevel="1" thickBot="1">
      <c r="A176" s="53" t="s">
        <v>105</v>
      </c>
      <c r="B176" s="54">
        <v>1601822</v>
      </c>
      <c r="C176" s="54">
        <v>739081</v>
      </c>
      <c r="D176" s="54">
        <v>183630</v>
      </c>
      <c r="E176" s="54">
        <v>3756172</v>
      </c>
      <c r="F176" s="54">
        <v>2266098</v>
      </c>
      <c r="G176" s="54">
        <v>1640270</v>
      </c>
      <c r="H176" s="54">
        <v>1292681</v>
      </c>
      <c r="I176" s="54">
        <v>5350721</v>
      </c>
      <c r="J176" s="54">
        <v>1830675</v>
      </c>
      <c r="K176" s="54">
        <v>6991386</v>
      </c>
      <c r="L176" s="54">
        <v>9959079</v>
      </c>
      <c r="M176" s="54">
        <v>76585841</v>
      </c>
      <c r="N176" s="54">
        <v>115521660</v>
      </c>
      <c r="O176" s="54">
        <v>43358666</v>
      </c>
      <c r="P176" s="54">
        <v>905029</v>
      </c>
      <c r="Q176" s="54">
        <f>SUM(Q99:Q175)</f>
        <v>156793701</v>
      </c>
      <c r="R176" s="54">
        <v>20859623</v>
      </c>
      <c r="S176" s="54">
        <f>SUM(S99:S175)</f>
        <v>449636134</v>
      </c>
      <c r="T176" s="54">
        <f>SUM(T99:T175)</f>
        <v>430206719</v>
      </c>
      <c r="U176" s="54">
        <f>SUM(U99:U175)</f>
        <v>19429415</v>
      </c>
      <c r="V176" s="64">
        <v>4.3</v>
      </c>
      <c r="W176" s="2"/>
    </row>
    <row r="177" spans="1:22" ht="12.75" hidden="1" outlineLevel="1">
      <c r="A177" s="3" t="s">
        <v>115</v>
      </c>
      <c r="V177" s="2"/>
    </row>
    <row r="178" spans="1:24" s="104" customFormat="1" ht="27.75" hidden="1" outlineLevel="1">
      <c r="A178" s="102" t="s">
        <v>0</v>
      </c>
      <c r="B178" s="60" t="s">
        <v>116</v>
      </c>
      <c r="C178" s="60" t="s">
        <v>1</v>
      </c>
      <c r="D178" s="60" t="s">
        <v>2</v>
      </c>
      <c r="E178" s="60" t="s">
        <v>117</v>
      </c>
      <c r="F178" s="60" t="s">
        <v>5</v>
      </c>
      <c r="G178" s="60" t="s">
        <v>6</v>
      </c>
      <c r="H178" s="60" t="s">
        <v>7</v>
      </c>
      <c r="I178" s="60" t="s">
        <v>8</v>
      </c>
      <c r="J178" s="60" t="s">
        <v>118</v>
      </c>
      <c r="K178" s="60" t="s">
        <v>10</v>
      </c>
      <c r="L178" s="60" t="s">
        <v>11</v>
      </c>
      <c r="M178" s="103">
        <v>20030</v>
      </c>
      <c r="N178" s="60" t="s">
        <v>15</v>
      </c>
      <c r="O178" s="60" t="s">
        <v>16</v>
      </c>
      <c r="P178" s="60" t="s">
        <v>17</v>
      </c>
      <c r="Q178" s="60" t="s">
        <v>119</v>
      </c>
      <c r="R178" s="60" t="s">
        <v>19</v>
      </c>
      <c r="S178" s="60" t="s">
        <v>111</v>
      </c>
      <c r="T178" s="60" t="s">
        <v>107</v>
      </c>
      <c r="U178" s="61" t="s">
        <v>22</v>
      </c>
      <c r="V178" s="61" t="s">
        <v>23</v>
      </c>
      <c r="X178" s="129"/>
    </row>
    <row r="179" spans="1:22" ht="13.5" hidden="1" outlineLevel="1" thickBot="1">
      <c r="A179" s="3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ht="12.75" hidden="1" outlineLevel="1">
      <c r="A180" s="41" t="s">
        <v>24</v>
      </c>
      <c r="B180" s="42">
        <v>34666</v>
      </c>
      <c r="C180" s="42">
        <v>8554</v>
      </c>
      <c r="D180" s="42">
        <v>1574</v>
      </c>
      <c r="E180" s="42">
        <v>6276</v>
      </c>
      <c r="F180" s="42">
        <v>11144</v>
      </c>
      <c r="G180" s="42">
        <v>20740</v>
      </c>
      <c r="H180" s="42">
        <v>16033</v>
      </c>
      <c r="I180" s="42">
        <v>12387</v>
      </c>
      <c r="J180" s="42">
        <v>21809</v>
      </c>
      <c r="K180" s="42">
        <v>31383</v>
      </c>
      <c r="L180" s="42">
        <v>0</v>
      </c>
      <c r="M180" s="42">
        <v>119103</v>
      </c>
      <c r="N180" s="42">
        <v>67376</v>
      </c>
      <c r="O180" s="42">
        <v>15306</v>
      </c>
      <c r="P180" s="42">
        <v>13045</v>
      </c>
      <c r="Q180" s="42">
        <v>26731</v>
      </c>
      <c r="R180" s="42">
        <v>150154</v>
      </c>
      <c r="S180" s="42">
        <f>SUM(B180:R180)</f>
        <v>556281</v>
      </c>
      <c r="T180" s="42">
        <v>0</v>
      </c>
      <c r="U180" s="42">
        <f>S180</f>
        <v>556281</v>
      </c>
      <c r="V180" s="62">
        <v>100</v>
      </c>
    </row>
    <row r="181" spans="1:22" ht="12.75" hidden="1" outlineLevel="1">
      <c r="A181" s="41" t="s">
        <v>29</v>
      </c>
      <c r="B181" s="45">
        <v>4289</v>
      </c>
      <c r="C181" s="45">
        <v>883</v>
      </c>
      <c r="D181" s="45">
        <v>194</v>
      </c>
      <c r="E181" s="45">
        <v>760</v>
      </c>
      <c r="F181" s="45">
        <v>1373</v>
      </c>
      <c r="G181" s="45">
        <v>2622</v>
      </c>
      <c r="H181" s="45">
        <v>1971</v>
      </c>
      <c r="I181" s="45">
        <v>1537</v>
      </c>
      <c r="J181" s="45">
        <v>2692</v>
      </c>
      <c r="K181" s="45">
        <v>3917</v>
      </c>
      <c r="L181" s="45">
        <v>0</v>
      </c>
      <c r="M181" s="45">
        <v>14917</v>
      </c>
      <c r="N181" s="45">
        <v>8316</v>
      </c>
      <c r="O181" s="45">
        <v>1893</v>
      </c>
      <c r="P181" s="45">
        <v>1589</v>
      </c>
      <c r="Q181" s="45">
        <v>3219</v>
      </c>
      <c r="R181" s="45">
        <v>18532</v>
      </c>
      <c r="S181" s="45">
        <f aca="true" t="shared" si="23" ref="S181:S196">SUM(B181:R181)</f>
        <v>68704</v>
      </c>
      <c r="T181" s="45">
        <v>0</v>
      </c>
      <c r="U181" s="42">
        <f aca="true" t="shared" si="24" ref="U181:U196">S181</f>
        <v>68704</v>
      </c>
      <c r="V181" s="62">
        <v>100</v>
      </c>
    </row>
    <row r="182" spans="1:22" ht="12.75" hidden="1" outlineLevel="1">
      <c r="A182" s="41" t="s">
        <v>37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294010</v>
      </c>
      <c r="N182" s="45">
        <v>0</v>
      </c>
      <c r="O182" s="45">
        <v>187500</v>
      </c>
      <c r="P182" s="45">
        <v>0</v>
      </c>
      <c r="Q182" s="45">
        <v>0</v>
      </c>
      <c r="R182" s="45">
        <v>0</v>
      </c>
      <c r="S182" s="45">
        <f t="shared" si="23"/>
        <v>481510</v>
      </c>
      <c r="T182" s="45">
        <v>0</v>
      </c>
      <c r="U182" s="42">
        <f t="shared" si="24"/>
        <v>481510</v>
      </c>
      <c r="V182" s="62">
        <v>100</v>
      </c>
    </row>
    <row r="183" spans="1:22" ht="12.75" hidden="1" outlineLevel="1">
      <c r="A183" s="41" t="s">
        <v>39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52000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f t="shared" si="23"/>
        <v>52000</v>
      </c>
      <c r="T183" s="45">
        <v>0</v>
      </c>
      <c r="U183" s="42">
        <f t="shared" si="24"/>
        <v>52000</v>
      </c>
      <c r="V183" s="62">
        <v>100</v>
      </c>
    </row>
    <row r="184" spans="1:22" ht="12.75" hidden="1" outlineLevel="1">
      <c r="A184" s="41" t="s">
        <v>44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f>578010+180096+74757</f>
        <v>832863</v>
      </c>
      <c r="S184" s="45">
        <f t="shared" si="23"/>
        <v>832863</v>
      </c>
      <c r="T184" s="45">
        <v>0</v>
      </c>
      <c r="U184" s="42">
        <f t="shared" si="24"/>
        <v>832863</v>
      </c>
      <c r="V184" s="62">
        <v>100</v>
      </c>
    </row>
    <row r="185" spans="1:22" ht="12.75" hidden="1" outlineLevel="1">
      <c r="A185" s="41" t="s">
        <v>46</v>
      </c>
      <c r="B185" s="45">
        <v>0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60589</v>
      </c>
      <c r="O185" s="45">
        <v>2784375</v>
      </c>
      <c r="P185" s="45">
        <v>0</v>
      </c>
      <c r="Q185" s="45">
        <v>0</v>
      </c>
      <c r="R185" s="45">
        <v>0</v>
      </c>
      <c r="S185" s="45">
        <f t="shared" si="23"/>
        <v>2844964</v>
      </c>
      <c r="T185" s="45">
        <v>0</v>
      </c>
      <c r="U185" s="42">
        <f t="shared" si="24"/>
        <v>2844964</v>
      </c>
      <c r="V185" s="62">
        <v>100</v>
      </c>
    </row>
    <row r="186" spans="1:22" ht="12.75" hidden="1" outlineLevel="1">
      <c r="A186" s="41" t="s">
        <v>56</v>
      </c>
      <c r="B186" s="45">
        <v>0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150000</v>
      </c>
      <c r="S186" s="45">
        <f t="shared" si="23"/>
        <v>150000</v>
      </c>
      <c r="T186" s="45">
        <v>0</v>
      </c>
      <c r="U186" s="42">
        <f t="shared" si="24"/>
        <v>150000</v>
      </c>
      <c r="V186" s="62">
        <v>100</v>
      </c>
    </row>
    <row r="187" spans="1:22" ht="12.75" hidden="1" outlineLevel="1">
      <c r="A187" s="41" t="s">
        <v>57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124430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f t="shared" si="23"/>
        <v>124430</v>
      </c>
      <c r="T187" s="45">
        <v>0</v>
      </c>
      <c r="U187" s="42">
        <f t="shared" si="24"/>
        <v>124430</v>
      </c>
      <c r="V187" s="62">
        <v>100</v>
      </c>
    </row>
    <row r="188" spans="1:22" ht="12.75" hidden="1" outlineLevel="1">
      <c r="A188" s="41" t="s">
        <v>61</v>
      </c>
      <c r="B188" s="45">
        <v>0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f t="shared" si="23"/>
        <v>0</v>
      </c>
      <c r="T188" s="45">
        <v>0</v>
      </c>
      <c r="U188" s="42">
        <f t="shared" si="24"/>
        <v>0</v>
      </c>
      <c r="V188" s="62">
        <v>100</v>
      </c>
    </row>
    <row r="189" spans="1:22" ht="12.75" hidden="1" outlineLevel="1">
      <c r="A189" s="41" t="s">
        <v>62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f t="shared" si="23"/>
        <v>0</v>
      </c>
      <c r="T189" s="45">
        <v>0</v>
      </c>
      <c r="U189" s="42">
        <f t="shared" si="24"/>
        <v>0</v>
      </c>
      <c r="V189" s="62">
        <v>100</v>
      </c>
    </row>
    <row r="190" spans="1:22" ht="12.75" hidden="1" outlineLevel="1">
      <c r="A190" s="41" t="s">
        <v>63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456703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f t="shared" si="23"/>
        <v>456703</v>
      </c>
      <c r="T190" s="45">
        <v>0</v>
      </c>
      <c r="U190" s="42">
        <f t="shared" si="24"/>
        <v>456703</v>
      </c>
      <c r="V190" s="62">
        <v>100</v>
      </c>
    </row>
    <row r="191" spans="1:22" ht="12.75" hidden="1" outlineLevel="1">
      <c r="A191" s="41" t="s">
        <v>71</v>
      </c>
      <c r="B191" s="45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69502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f t="shared" si="23"/>
        <v>69502</v>
      </c>
      <c r="T191" s="45">
        <v>0</v>
      </c>
      <c r="U191" s="42">
        <f t="shared" si="24"/>
        <v>69502</v>
      </c>
      <c r="V191" s="62">
        <v>100</v>
      </c>
    </row>
    <row r="192" spans="1:22" ht="12.75" hidden="1" outlineLevel="1">
      <c r="A192" s="41" t="s">
        <v>79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45000</v>
      </c>
      <c r="P192" s="45">
        <v>0</v>
      </c>
      <c r="Q192" s="45">
        <v>0</v>
      </c>
      <c r="R192" s="45">
        <v>0</v>
      </c>
      <c r="S192" s="45">
        <f t="shared" si="23"/>
        <v>45000</v>
      </c>
      <c r="T192" s="45">
        <v>0</v>
      </c>
      <c r="U192" s="42">
        <f t="shared" si="24"/>
        <v>45000</v>
      </c>
      <c r="V192" s="62">
        <v>100</v>
      </c>
    </row>
    <row r="193" spans="1:22" ht="12.75" hidden="1" outlineLevel="1">
      <c r="A193" s="41" t="s">
        <v>81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82500</v>
      </c>
      <c r="P193" s="45">
        <v>0</v>
      </c>
      <c r="Q193" s="45">
        <v>0</v>
      </c>
      <c r="R193" s="45">
        <v>0</v>
      </c>
      <c r="S193" s="45">
        <f t="shared" si="23"/>
        <v>82500</v>
      </c>
      <c r="T193" s="45">
        <v>0</v>
      </c>
      <c r="U193" s="42">
        <f t="shared" si="24"/>
        <v>82500</v>
      </c>
      <c r="V193" s="62">
        <v>100</v>
      </c>
    </row>
    <row r="194" spans="1:22" ht="12.75" hidden="1" outlineLevel="1">
      <c r="A194" s="41" t="s">
        <v>83</v>
      </c>
      <c r="B194" s="45">
        <v>0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122734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f t="shared" si="23"/>
        <v>122734</v>
      </c>
      <c r="T194" s="45">
        <v>0</v>
      </c>
      <c r="U194" s="42">
        <f t="shared" si="24"/>
        <v>122734</v>
      </c>
      <c r="V194" s="62">
        <v>100</v>
      </c>
    </row>
    <row r="195" spans="1:22" ht="12.75" hidden="1" outlineLevel="1">
      <c r="A195" s="41" t="s">
        <v>88</v>
      </c>
      <c r="B195" s="45">
        <v>0</v>
      </c>
      <c r="C195" s="45">
        <v>0</v>
      </c>
      <c r="D195" s="45">
        <v>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71122</v>
      </c>
      <c r="O195" s="45">
        <v>0</v>
      </c>
      <c r="P195" s="45">
        <v>0</v>
      </c>
      <c r="Q195" s="45">
        <v>0</v>
      </c>
      <c r="R195" s="45">
        <v>0</v>
      </c>
      <c r="S195" s="45">
        <f t="shared" si="23"/>
        <v>71122</v>
      </c>
      <c r="T195" s="45">
        <v>0</v>
      </c>
      <c r="U195" s="42">
        <f t="shared" si="24"/>
        <v>71122</v>
      </c>
      <c r="V195" s="62">
        <v>100</v>
      </c>
    </row>
    <row r="196" spans="1:22" ht="12.75" hidden="1" outlineLevel="1">
      <c r="A196" s="41" t="s">
        <v>94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199766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f t="shared" si="23"/>
        <v>199766</v>
      </c>
      <c r="T196" s="45">
        <v>0</v>
      </c>
      <c r="U196" s="42">
        <f t="shared" si="24"/>
        <v>199766</v>
      </c>
      <c r="V196" s="62">
        <v>100</v>
      </c>
    </row>
    <row r="197" spans="1:22" ht="12.75" hidden="1" outlineLevel="1">
      <c r="A197" s="50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63"/>
    </row>
    <row r="198" spans="1:22" ht="13.5" hidden="1" outlineLevel="1" thickBot="1">
      <c r="A198" s="53" t="s">
        <v>105</v>
      </c>
      <c r="B198" s="54">
        <v>38955</v>
      </c>
      <c r="C198" s="54">
        <v>9437</v>
      </c>
      <c r="D198" s="54">
        <v>1768</v>
      </c>
      <c r="E198" s="54">
        <v>7036</v>
      </c>
      <c r="F198" s="54">
        <v>12517</v>
      </c>
      <c r="G198" s="54">
        <v>23362</v>
      </c>
      <c r="H198" s="54">
        <v>70004</v>
      </c>
      <c r="I198" s="54">
        <v>13924</v>
      </c>
      <c r="J198" s="54">
        <v>24501</v>
      </c>
      <c r="K198" s="54">
        <f>SUM(K180:K196)</f>
        <v>492003</v>
      </c>
      <c r="L198" s="54">
        <v>0</v>
      </c>
      <c r="M198" s="54">
        <f>SUM(M180:M196)</f>
        <v>944462</v>
      </c>
      <c r="N198" s="54">
        <f>SUM(N180:N196)</f>
        <v>207403</v>
      </c>
      <c r="O198" s="54">
        <f>SUM(O180:O196)</f>
        <v>3116574</v>
      </c>
      <c r="P198" s="54">
        <f>SUM(P180:P196)</f>
        <v>14634</v>
      </c>
      <c r="Q198" s="54">
        <v>29950</v>
      </c>
      <c r="R198" s="54">
        <f>SUM(R180:R196)</f>
        <v>1151549</v>
      </c>
      <c r="S198" s="54">
        <f>SUM(S180:S196)-2</f>
        <v>6158077</v>
      </c>
      <c r="T198" s="54">
        <v>0</v>
      </c>
      <c r="U198" s="54">
        <v>3496803</v>
      </c>
      <c r="V198" s="64">
        <v>187.4</v>
      </c>
    </row>
    <row r="199" spans="1:24" ht="15" hidden="1" outlineLevel="1">
      <c r="A199" s="105" t="s">
        <v>120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25"/>
    </row>
    <row r="200" spans="1:22" ht="27.75" hidden="1" outlineLevel="1">
      <c r="A200" s="107" t="s">
        <v>0</v>
      </c>
      <c r="B200" s="108" t="s">
        <v>108</v>
      </c>
      <c r="C200" s="108" t="s">
        <v>1</v>
      </c>
      <c r="D200" s="108" t="s">
        <v>2</v>
      </c>
      <c r="E200" s="108" t="s">
        <v>3</v>
      </c>
      <c r="F200" s="108" t="s">
        <v>5</v>
      </c>
      <c r="G200" s="108" t="s">
        <v>6</v>
      </c>
      <c r="H200" s="108" t="s">
        <v>7</v>
      </c>
      <c r="I200" s="108" t="s">
        <v>8</v>
      </c>
      <c r="J200" s="108" t="s">
        <v>9</v>
      </c>
      <c r="K200" s="108" t="s">
        <v>10</v>
      </c>
      <c r="L200" s="108" t="s">
        <v>11</v>
      </c>
      <c r="M200" s="108" t="s">
        <v>14</v>
      </c>
      <c r="N200" s="108" t="s">
        <v>15</v>
      </c>
      <c r="O200" s="108" t="s">
        <v>16</v>
      </c>
      <c r="P200" s="108" t="s">
        <v>17</v>
      </c>
      <c r="Q200" s="108" t="s">
        <v>18</v>
      </c>
      <c r="R200" s="108" t="s">
        <v>19</v>
      </c>
      <c r="S200" s="109" t="s">
        <v>121</v>
      </c>
      <c r="T200" s="109" t="s">
        <v>122</v>
      </c>
      <c r="U200" s="110" t="s">
        <v>22</v>
      </c>
      <c r="V200" s="110" t="s">
        <v>23</v>
      </c>
    </row>
    <row r="201" spans="1:22" ht="13.5" hidden="1" outlineLevel="1" thickBot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</row>
    <row r="202" spans="1:22" ht="12.75" hidden="1" outlineLevel="1">
      <c r="A202" s="113" t="s">
        <v>24</v>
      </c>
      <c r="B202" s="114">
        <v>301216</v>
      </c>
      <c r="C202" s="114">
        <v>74322</v>
      </c>
      <c r="D202" s="114">
        <v>0</v>
      </c>
      <c r="E202" s="114">
        <v>54538</v>
      </c>
      <c r="F202" s="114">
        <v>96825</v>
      </c>
      <c r="G202" s="114">
        <v>180211</v>
      </c>
      <c r="H202" s="114">
        <v>139311</v>
      </c>
      <c r="I202" s="114">
        <v>107627</v>
      </c>
      <c r="J202" s="114">
        <v>0</v>
      </c>
      <c r="K202" s="114">
        <v>219104</v>
      </c>
      <c r="L202" s="114">
        <v>0</v>
      </c>
      <c r="M202" s="114">
        <v>2243270</v>
      </c>
      <c r="N202" s="114">
        <v>1269039</v>
      </c>
      <c r="O202" s="114">
        <v>0</v>
      </c>
      <c r="P202" s="114">
        <v>113343</v>
      </c>
      <c r="Q202" s="114">
        <v>0</v>
      </c>
      <c r="R202" s="114">
        <v>0</v>
      </c>
      <c r="S202" s="114">
        <f>SUM(B202:R202)</f>
        <v>4798806</v>
      </c>
      <c r="T202" s="114">
        <v>2913515</v>
      </c>
      <c r="U202" s="114">
        <f>S202-T202</f>
        <v>1885291</v>
      </c>
      <c r="V202" s="115">
        <f>U202/T202</f>
        <v>0.6470847069604927</v>
      </c>
    </row>
    <row r="203" spans="1:22" ht="12.75" hidden="1" outlineLevel="1">
      <c r="A203" s="113" t="s">
        <v>27</v>
      </c>
      <c r="B203" s="116">
        <v>164</v>
      </c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176</v>
      </c>
      <c r="L203" s="116">
        <v>0</v>
      </c>
      <c r="M203" s="116">
        <v>58425</v>
      </c>
      <c r="N203" s="116">
        <v>16987</v>
      </c>
      <c r="O203" s="116">
        <v>0</v>
      </c>
      <c r="P203" s="116">
        <v>0</v>
      </c>
      <c r="Q203" s="116">
        <v>0</v>
      </c>
      <c r="R203" s="116">
        <v>0</v>
      </c>
      <c r="S203" s="116">
        <f aca="true" t="shared" si="25" ref="S203:S220">SUM(B203:R203)</f>
        <v>75752</v>
      </c>
      <c r="T203" s="116">
        <v>79190</v>
      </c>
      <c r="U203" s="116">
        <f aca="true" t="shared" si="26" ref="U203:U220">S203-T203</f>
        <v>-3438</v>
      </c>
      <c r="V203" s="115">
        <f aca="true" t="shared" si="27" ref="V203:V220">U203/T203</f>
        <v>-0.04341457254703877</v>
      </c>
    </row>
    <row r="204" spans="1:22" ht="12.75" hidden="1" outlineLevel="1">
      <c r="A204" s="113" t="s">
        <v>28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1009656</v>
      </c>
      <c r="M204" s="116">
        <v>0</v>
      </c>
      <c r="N204" s="116">
        <v>0</v>
      </c>
      <c r="O204" s="116">
        <v>0</v>
      </c>
      <c r="P204" s="116">
        <v>0</v>
      </c>
      <c r="Q204" s="116">
        <v>0</v>
      </c>
      <c r="R204" s="116">
        <v>0</v>
      </c>
      <c r="S204" s="116">
        <f t="shared" si="25"/>
        <v>1009656</v>
      </c>
      <c r="T204" s="116">
        <v>732405</v>
      </c>
      <c r="U204" s="116">
        <f t="shared" si="26"/>
        <v>277251</v>
      </c>
      <c r="V204" s="115">
        <f t="shared" si="27"/>
        <v>0.3785487537632867</v>
      </c>
    </row>
    <row r="205" spans="1:22" ht="12.75" hidden="1" outlineLevel="1">
      <c r="A205" s="113" t="s">
        <v>29</v>
      </c>
      <c r="B205" s="116">
        <v>37266</v>
      </c>
      <c r="C205" s="116">
        <v>7676</v>
      </c>
      <c r="D205" s="116">
        <v>0</v>
      </c>
      <c r="E205" s="116">
        <v>6603</v>
      </c>
      <c r="F205" s="116">
        <v>11932</v>
      </c>
      <c r="G205" s="116">
        <v>22779</v>
      </c>
      <c r="H205" s="116">
        <v>17129</v>
      </c>
      <c r="I205" s="116">
        <v>13355</v>
      </c>
      <c r="J205" s="116">
        <v>0</v>
      </c>
      <c r="K205" s="116">
        <v>27513</v>
      </c>
      <c r="L205" s="116">
        <v>0</v>
      </c>
      <c r="M205" s="116">
        <v>280983</v>
      </c>
      <c r="N205" s="116">
        <v>156641</v>
      </c>
      <c r="O205" s="116">
        <v>0</v>
      </c>
      <c r="P205" s="116">
        <v>13801</v>
      </c>
      <c r="Q205" s="116">
        <v>0</v>
      </c>
      <c r="R205" s="116">
        <v>0</v>
      </c>
      <c r="S205" s="116">
        <f t="shared" si="25"/>
        <v>595678</v>
      </c>
      <c r="T205" s="116">
        <v>345791</v>
      </c>
      <c r="U205" s="116">
        <f t="shared" si="26"/>
        <v>249887</v>
      </c>
      <c r="V205" s="115">
        <f t="shared" si="27"/>
        <v>0.7226532790037913</v>
      </c>
    </row>
    <row r="206" spans="1:22" ht="12.75" hidden="1" outlineLevel="1">
      <c r="A206" s="113" t="s">
        <v>37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1466089</v>
      </c>
      <c r="N206" s="116">
        <v>0</v>
      </c>
      <c r="O206" s="116">
        <v>0</v>
      </c>
      <c r="P206" s="116">
        <v>50000</v>
      </c>
      <c r="Q206" s="116">
        <v>0</v>
      </c>
      <c r="R206" s="116">
        <v>0</v>
      </c>
      <c r="S206" s="116">
        <f t="shared" si="25"/>
        <v>1516089</v>
      </c>
      <c r="T206" s="116">
        <v>1375007</v>
      </c>
      <c r="U206" s="116">
        <f t="shared" si="26"/>
        <v>141082</v>
      </c>
      <c r="V206" s="115">
        <f t="shared" si="27"/>
        <v>0.10260456855856007</v>
      </c>
    </row>
    <row r="207" spans="1:22" ht="12.75" hidden="1" outlineLevel="1">
      <c r="A207" s="113" t="s">
        <v>38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50000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16">
        <v>0</v>
      </c>
      <c r="Q207" s="116">
        <v>0</v>
      </c>
      <c r="R207" s="116">
        <v>0</v>
      </c>
      <c r="S207" s="116">
        <f t="shared" si="25"/>
        <v>50000</v>
      </c>
      <c r="T207" s="116">
        <v>50000</v>
      </c>
      <c r="U207" s="116">
        <f t="shared" si="26"/>
        <v>0</v>
      </c>
      <c r="V207" s="115">
        <f t="shared" si="27"/>
        <v>0</v>
      </c>
    </row>
    <row r="208" spans="1:22" ht="12.75" hidden="1" outlineLevel="1">
      <c r="A208" s="113" t="s">
        <v>39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30000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16">
        <v>0</v>
      </c>
      <c r="Q208" s="116">
        <v>0</v>
      </c>
      <c r="R208" s="116">
        <v>0</v>
      </c>
      <c r="S208" s="116">
        <f t="shared" si="25"/>
        <v>30000</v>
      </c>
      <c r="T208" s="116">
        <v>30000</v>
      </c>
      <c r="U208" s="116">
        <f t="shared" si="26"/>
        <v>0</v>
      </c>
      <c r="V208" s="115">
        <f t="shared" si="27"/>
        <v>0</v>
      </c>
    </row>
    <row r="209" spans="1:22" ht="12.75" hidden="1" outlineLevel="1">
      <c r="A209" s="113" t="s">
        <v>55</v>
      </c>
      <c r="B209" s="116">
        <v>0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  <c r="N209" s="116">
        <v>0</v>
      </c>
      <c r="O209" s="116">
        <v>0</v>
      </c>
      <c r="P209" s="116">
        <v>0</v>
      </c>
      <c r="Q209" s="116">
        <v>0</v>
      </c>
      <c r="R209" s="116">
        <v>0</v>
      </c>
      <c r="S209" s="116">
        <f t="shared" si="25"/>
        <v>0</v>
      </c>
      <c r="T209" s="116">
        <v>2148</v>
      </c>
      <c r="U209" s="116">
        <f t="shared" si="26"/>
        <v>-2148</v>
      </c>
      <c r="V209" s="115">
        <f t="shared" si="27"/>
        <v>-1</v>
      </c>
    </row>
    <row r="210" spans="1:22" ht="12.75" hidden="1" outlineLevel="1">
      <c r="A210" s="113" t="s">
        <v>57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1590793</v>
      </c>
      <c r="N210" s="116">
        <v>0</v>
      </c>
      <c r="O210" s="116">
        <v>0</v>
      </c>
      <c r="P210" s="116">
        <v>0</v>
      </c>
      <c r="Q210" s="116">
        <v>0</v>
      </c>
      <c r="R210" s="116">
        <v>0</v>
      </c>
      <c r="S210" s="116">
        <f t="shared" si="25"/>
        <v>1590793</v>
      </c>
      <c r="T210" s="116">
        <v>1070658</v>
      </c>
      <c r="U210" s="116">
        <f t="shared" si="26"/>
        <v>520135</v>
      </c>
      <c r="V210" s="115">
        <f t="shared" si="27"/>
        <v>0.48580872696977</v>
      </c>
    </row>
    <row r="211" spans="1:22" ht="12.75" hidden="1" outlineLevel="1">
      <c r="A211" s="113" t="s">
        <v>61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250000</v>
      </c>
      <c r="L211" s="116">
        <v>0</v>
      </c>
      <c r="M211" s="116">
        <v>0</v>
      </c>
      <c r="N211" s="116">
        <v>0</v>
      </c>
      <c r="O211" s="116">
        <v>0</v>
      </c>
      <c r="P211" s="116">
        <v>0</v>
      </c>
      <c r="Q211" s="116">
        <v>0</v>
      </c>
      <c r="R211" s="116">
        <v>0</v>
      </c>
      <c r="S211" s="116">
        <f t="shared" si="25"/>
        <v>250000</v>
      </c>
      <c r="T211" s="116">
        <v>350000</v>
      </c>
      <c r="U211" s="116">
        <f t="shared" si="26"/>
        <v>-100000</v>
      </c>
      <c r="V211" s="115">
        <f t="shared" si="27"/>
        <v>-0.2857142857142857</v>
      </c>
    </row>
    <row r="212" spans="1:22" ht="12.75" hidden="1" outlineLevel="1">
      <c r="A212" s="113" t="s">
        <v>62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250000</v>
      </c>
      <c r="L212" s="116">
        <v>0</v>
      </c>
      <c r="M212" s="116">
        <v>0</v>
      </c>
      <c r="N212" s="116">
        <v>0</v>
      </c>
      <c r="O212" s="116">
        <v>0</v>
      </c>
      <c r="P212" s="116">
        <v>0</v>
      </c>
      <c r="Q212" s="116">
        <v>0</v>
      </c>
      <c r="R212" s="116">
        <v>0</v>
      </c>
      <c r="S212" s="116">
        <f t="shared" si="25"/>
        <v>250000</v>
      </c>
      <c r="T212" s="116">
        <v>500000</v>
      </c>
      <c r="U212" s="116">
        <f t="shared" si="26"/>
        <v>-250000</v>
      </c>
      <c r="V212" s="115">
        <f t="shared" si="27"/>
        <v>-0.5</v>
      </c>
    </row>
    <row r="213" spans="1:22" ht="12.75" hidden="1" outlineLevel="1">
      <c r="A213" s="113" t="s">
        <v>63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262537</v>
      </c>
      <c r="L213" s="116">
        <v>0</v>
      </c>
      <c r="M213" s="116">
        <v>0</v>
      </c>
      <c r="N213" s="116">
        <v>0</v>
      </c>
      <c r="O213" s="116">
        <v>0</v>
      </c>
      <c r="P213" s="116">
        <v>0</v>
      </c>
      <c r="Q213" s="116">
        <v>0</v>
      </c>
      <c r="R213" s="116">
        <v>0</v>
      </c>
      <c r="S213" s="116">
        <f t="shared" si="25"/>
        <v>262537</v>
      </c>
      <c r="T213" s="116">
        <v>500000</v>
      </c>
      <c r="U213" s="116">
        <f t="shared" si="26"/>
        <v>-237463</v>
      </c>
      <c r="V213" s="115">
        <f t="shared" si="27"/>
        <v>-0.474926</v>
      </c>
    </row>
    <row r="214" spans="1:22" ht="12.75" hidden="1" outlineLevel="1">
      <c r="A214" s="113" t="s">
        <v>71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888556</v>
      </c>
      <c r="N214" s="116">
        <v>0</v>
      </c>
      <c r="O214" s="116">
        <v>0</v>
      </c>
      <c r="P214" s="116">
        <v>0</v>
      </c>
      <c r="Q214" s="116">
        <v>0</v>
      </c>
      <c r="R214" s="116">
        <v>0</v>
      </c>
      <c r="S214" s="116">
        <f t="shared" si="25"/>
        <v>888556</v>
      </c>
      <c r="T214" s="116">
        <v>275957</v>
      </c>
      <c r="U214" s="116">
        <f t="shared" si="26"/>
        <v>612599</v>
      </c>
      <c r="V214" s="115">
        <f t="shared" si="27"/>
        <v>2.2199074493489928</v>
      </c>
    </row>
    <row r="215" spans="1:22" ht="12.75" hidden="1" outlineLevel="1">
      <c r="A215" s="113" t="s">
        <v>73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13471</v>
      </c>
      <c r="M215" s="116">
        <v>0</v>
      </c>
      <c r="N215" s="116">
        <v>0</v>
      </c>
      <c r="O215" s="116">
        <v>0</v>
      </c>
      <c r="P215" s="116">
        <v>0</v>
      </c>
      <c r="Q215" s="116">
        <v>0</v>
      </c>
      <c r="R215" s="116">
        <v>0</v>
      </c>
      <c r="S215" s="116">
        <f t="shared" si="25"/>
        <v>13471</v>
      </c>
      <c r="T215" s="116">
        <v>9414</v>
      </c>
      <c r="U215" s="116">
        <f t="shared" si="26"/>
        <v>4057</v>
      </c>
      <c r="V215" s="115">
        <f t="shared" si="27"/>
        <v>0.43095389844911836</v>
      </c>
    </row>
    <row r="216" spans="1:22" ht="12.75" hidden="1" outlineLevel="1">
      <c r="A216" s="113" t="s">
        <v>76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16">
        <v>0</v>
      </c>
      <c r="Q216" s="116">
        <v>0</v>
      </c>
      <c r="R216" s="116">
        <v>0</v>
      </c>
      <c r="S216" s="116">
        <f t="shared" si="25"/>
        <v>0</v>
      </c>
      <c r="T216" s="116">
        <v>11</v>
      </c>
      <c r="U216" s="116">
        <f t="shared" si="26"/>
        <v>-11</v>
      </c>
      <c r="V216" s="115">
        <f t="shared" si="27"/>
        <v>-1</v>
      </c>
    </row>
    <row r="217" spans="1:22" ht="12.75" hidden="1" outlineLevel="1">
      <c r="A217" s="113" t="s">
        <v>83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1569112</v>
      </c>
      <c r="N217" s="116">
        <v>0</v>
      </c>
      <c r="O217" s="116">
        <v>0</v>
      </c>
      <c r="P217" s="116">
        <v>0</v>
      </c>
      <c r="Q217" s="116">
        <v>0</v>
      </c>
      <c r="R217" s="116">
        <v>0</v>
      </c>
      <c r="S217" s="116">
        <f t="shared" si="25"/>
        <v>1569112</v>
      </c>
      <c r="T217" s="116">
        <v>1220578</v>
      </c>
      <c r="U217" s="116">
        <f t="shared" si="26"/>
        <v>348534</v>
      </c>
      <c r="V217" s="115">
        <f t="shared" si="27"/>
        <v>0.28554832218834025</v>
      </c>
    </row>
    <row r="218" spans="1:22" ht="12.75" hidden="1" outlineLevel="1">
      <c r="A218" s="113" t="s">
        <v>88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910619</v>
      </c>
      <c r="O218" s="116">
        <v>0</v>
      </c>
      <c r="P218" s="116">
        <v>0</v>
      </c>
      <c r="Q218" s="116">
        <v>0</v>
      </c>
      <c r="R218" s="116">
        <v>0</v>
      </c>
      <c r="S218" s="116">
        <f t="shared" si="25"/>
        <v>910619</v>
      </c>
      <c r="T218" s="116">
        <v>939206</v>
      </c>
      <c r="U218" s="116">
        <f t="shared" si="26"/>
        <v>-28587</v>
      </c>
      <c r="V218" s="115">
        <f t="shared" si="27"/>
        <v>-0.030437412026754512</v>
      </c>
    </row>
    <row r="219" spans="1:22" ht="12.75" hidden="1" outlineLevel="1">
      <c r="A219" s="113" t="s">
        <v>93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118336</v>
      </c>
      <c r="N219" s="116">
        <v>0</v>
      </c>
      <c r="O219" s="116">
        <v>0</v>
      </c>
      <c r="P219" s="116">
        <v>0</v>
      </c>
      <c r="Q219" s="116">
        <v>0</v>
      </c>
      <c r="R219" s="116">
        <v>0</v>
      </c>
      <c r="S219" s="116">
        <f t="shared" si="25"/>
        <v>118336</v>
      </c>
      <c r="T219" s="116">
        <v>41169</v>
      </c>
      <c r="U219" s="116">
        <f t="shared" si="26"/>
        <v>77167</v>
      </c>
      <c r="V219" s="115">
        <f t="shared" si="27"/>
        <v>1.8743957832349583</v>
      </c>
    </row>
    <row r="220" spans="1:22" ht="12.75" hidden="1" outlineLevel="1">
      <c r="A220" s="113" t="s">
        <v>94</v>
      </c>
      <c r="B220" s="116">
        <v>0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2553927</v>
      </c>
      <c r="N220" s="116">
        <v>0</v>
      </c>
      <c r="O220" s="116">
        <v>0</v>
      </c>
      <c r="P220" s="116">
        <v>0</v>
      </c>
      <c r="Q220" s="116">
        <v>0</v>
      </c>
      <c r="R220" s="116">
        <v>0</v>
      </c>
      <c r="S220" s="116">
        <f t="shared" si="25"/>
        <v>2553927</v>
      </c>
      <c r="T220" s="116">
        <v>1893581</v>
      </c>
      <c r="U220" s="116">
        <f t="shared" si="26"/>
        <v>660346</v>
      </c>
      <c r="V220" s="115">
        <f t="shared" si="27"/>
        <v>0.34872867862531365</v>
      </c>
    </row>
    <row r="221" spans="1:22" ht="12.75" hidden="1" outlineLevel="1">
      <c r="A221" s="117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9"/>
    </row>
    <row r="222" spans="1:22" ht="13.5" hidden="1" outlineLevel="1" thickBot="1">
      <c r="A222" s="120" t="s">
        <v>105</v>
      </c>
      <c r="B222" s="121">
        <v>338646</v>
      </c>
      <c r="C222" s="121">
        <v>81998</v>
      </c>
      <c r="D222" s="121">
        <v>0</v>
      </c>
      <c r="E222" s="121">
        <v>61141</v>
      </c>
      <c r="F222" s="121">
        <v>108757</v>
      </c>
      <c r="G222" s="121">
        <v>202990</v>
      </c>
      <c r="H222" s="121">
        <v>186440</v>
      </c>
      <c r="I222" s="121">
        <v>170982</v>
      </c>
      <c r="J222" s="121">
        <v>0</v>
      </c>
      <c r="K222" s="121">
        <v>1009330</v>
      </c>
      <c r="L222" s="121">
        <v>1023127</v>
      </c>
      <c r="M222" s="121">
        <f>SUM(M202:M220)</f>
        <v>10769491</v>
      </c>
      <c r="N222" s="121">
        <f>SUM(N202:N221)</f>
        <v>2353286</v>
      </c>
      <c r="O222" s="121">
        <v>0</v>
      </c>
      <c r="P222" s="121">
        <v>177144</v>
      </c>
      <c r="Q222" s="121">
        <v>0</v>
      </c>
      <c r="R222" s="121">
        <v>0</v>
      </c>
      <c r="S222" s="121">
        <f>SUM(S202:S220)</f>
        <v>16483332</v>
      </c>
      <c r="T222" s="121">
        <v>12328630</v>
      </c>
      <c r="U222" s="121">
        <f>SUM(U202:U220)</f>
        <v>4154702</v>
      </c>
      <c r="V222" s="122">
        <v>51.2</v>
      </c>
    </row>
    <row r="223" ht="12.75" hidden="1" outlineLevel="1"/>
    <row r="224" ht="12.75" hidden="1" collapsed="1"/>
    <row r="225" spans="1:24" s="123" customFormat="1" ht="12.75" hidden="1">
      <c r="A225" s="123" t="s">
        <v>123</v>
      </c>
      <c r="B225" s="124">
        <f>B176+B198+B222</f>
        <v>1979423</v>
      </c>
      <c r="C225" s="124">
        <f aca="true" t="shared" si="28" ref="C225:R225">C176+C198+C222</f>
        <v>830516</v>
      </c>
      <c r="D225" s="124">
        <f t="shared" si="28"/>
        <v>185398</v>
      </c>
      <c r="E225" s="124">
        <f t="shared" si="28"/>
        <v>3824349</v>
      </c>
      <c r="F225" s="124">
        <f t="shared" si="28"/>
        <v>2387372</v>
      </c>
      <c r="G225" s="124">
        <f t="shared" si="28"/>
        <v>1866622</v>
      </c>
      <c r="H225" s="124">
        <f t="shared" si="28"/>
        <v>1549125</v>
      </c>
      <c r="I225" s="124">
        <f t="shared" si="28"/>
        <v>5535627</v>
      </c>
      <c r="J225" s="124">
        <f t="shared" si="28"/>
        <v>1855176</v>
      </c>
      <c r="K225" s="124">
        <f t="shared" si="28"/>
        <v>8492719</v>
      </c>
      <c r="L225" s="124">
        <f t="shared" si="28"/>
        <v>10982206</v>
      </c>
      <c r="M225" s="124">
        <f t="shared" si="28"/>
        <v>88299794</v>
      </c>
      <c r="N225" s="124">
        <f t="shared" si="28"/>
        <v>118082349</v>
      </c>
      <c r="O225" s="124">
        <f t="shared" si="28"/>
        <v>46475240</v>
      </c>
      <c r="P225" s="124">
        <f t="shared" si="28"/>
        <v>1096807</v>
      </c>
      <c r="Q225" s="124">
        <f t="shared" si="28"/>
        <v>156823651</v>
      </c>
      <c r="R225" s="124">
        <f t="shared" si="28"/>
        <v>22011172</v>
      </c>
      <c r="S225" s="124">
        <f>S176+S198+S222</f>
        <v>472277543</v>
      </c>
      <c r="X225" s="28"/>
    </row>
    <row r="226" ht="12.75" hidden="1"/>
  </sheetData>
  <sheetProtection/>
  <conditionalFormatting sqref="B95:V96">
    <cfRule type="cellIs" priority="1" dxfId="0" operator="greaterThan">
      <formula>0</formula>
    </cfRule>
  </conditionalFormatting>
  <printOptions/>
  <pageMargins left="0.75" right="0.75" top="1" bottom="1" header="0.5" footer="0.5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B176"/>
  <sheetViews>
    <sheetView showGridLines="0" zoomScalePageLayoutView="0" workbookViewId="0" topLeftCell="A1">
      <pane xSplit="1" ySplit="11" topLeftCell="B7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79" sqref="D179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9.28125" style="3" customWidth="1"/>
    <col min="4" max="4" width="13.57421875" style="3" customWidth="1"/>
    <col min="5" max="5" width="10.8515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3" width="10.28125" style="3" customWidth="1"/>
    <col min="14" max="14" width="12.421875" style="3" customWidth="1"/>
    <col min="15" max="15" width="14.140625" style="3" customWidth="1"/>
    <col min="16" max="16" width="12.57421875" style="3" customWidth="1"/>
    <col min="17" max="17" width="12.00390625" style="3" bestFit="1" customWidth="1"/>
    <col min="18" max="18" width="10.8515625" style="3" bestFit="1" customWidth="1"/>
    <col min="19" max="19" width="12.8515625" style="3" customWidth="1"/>
    <col min="20" max="20" width="12.00390625" style="3" customWidth="1"/>
    <col min="21" max="22" width="13.28125" style="3" bestFit="1" customWidth="1"/>
    <col min="23" max="23" width="13.8515625" style="3" bestFit="1" customWidth="1"/>
    <col min="24" max="24" width="10.57421875" style="3" bestFit="1" customWidth="1"/>
    <col min="25" max="25" width="9.140625" style="2" customWidth="1"/>
    <col min="26" max="26" width="9.140625" style="3" customWidth="1"/>
    <col min="27" max="27" width="39.57421875" style="3" hidden="1" customWidth="1"/>
    <col min="28" max="28" width="14.57421875" style="3" hidden="1" customWidth="1"/>
    <col min="29" max="29" width="0" style="3" hidden="1" customWidth="1"/>
    <col min="30" max="16384" width="9.140625" style="3" customWidth="1"/>
  </cols>
  <sheetData>
    <row r="1" ht="12.75"/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ht="12.7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4"/>
      <c r="W8" s="4"/>
      <c r="X8" s="4"/>
    </row>
    <row r="9" spans="1:24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4"/>
      <c r="W9" s="4"/>
      <c r="X9" s="4"/>
    </row>
    <row r="10" spans="1:24" s="10" customFormat="1" ht="38.25" customHeigh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  <c r="T10" s="9" t="s">
        <v>19</v>
      </c>
      <c r="U10" s="9" t="s">
        <v>20</v>
      </c>
      <c r="V10" s="9" t="s">
        <v>21</v>
      </c>
      <c r="W10" s="9" t="s">
        <v>22</v>
      </c>
      <c r="X10" s="9" t="s">
        <v>23</v>
      </c>
    </row>
    <row r="11" spans="1:24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8" ht="12" customHeight="1">
      <c r="A12" s="13" t="s">
        <v>24</v>
      </c>
      <c r="B12" s="14">
        <f>316095+14270</f>
        <v>330365</v>
      </c>
      <c r="C12" s="14">
        <v>67570</v>
      </c>
      <c r="D12" s="14">
        <f>232565+11651</f>
        <v>244216</v>
      </c>
      <c r="E12" s="14">
        <f>1296098+62142</f>
        <v>1358240</v>
      </c>
      <c r="F12" s="14">
        <f>410130+20107</f>
        <v>430237</v>
      </c>
      <c r="G12" s="14">
        <f>772263+42034</f>
        <v>814297</v>
      </c>
      <c r="H12" s="14">
        <f>622608+33971</f>
        <v>656579</v>
      </c>
      <c r="I12" s="14">
        <f>572651+21797</f>
        <v>594448</v>
      </c>
      <c r="J12" s="14">
        <v>931321</v>
      </c>
      <c r="K12" s="14">
        <f>1211587+45033</f>
        <v>1256620</v>
      </c>
      <c r="L12" s="15">
        <v>-840800</v>
      </c>
      <c r="M12" s="14">
        <f>392012+22609</f>
        <v>414621</v>
      </c>
      <c r="N12" s="14">
        <f>4185032+217871</f>
        <v>4402903</v>
      </c>
      <c r="O12" s="14">
        <f>6020744+419177</f>
        <v>6439921</v>
      </c>
      <c r="P12" s="14">
        <f>6081450+197650</f>
        <v>6279100</v>
      </c>
      <c r="Q12" s="14">
        <v>8013123</v>
      </c>
      <c r="R12" s="14">
        <f>476701+23046</f>
        <v>499747</v>
      </c>
      <c r="S12" s="14">
        <v>1213162</v>
      </c>
      <c r="T12" s="14">
        <v>3994487</v>
      </c>
      <c r="U12" s="14">
        <f>SUM(B12:T12)</f>
        <v>37100157</v>
      </c>
      <c r="V12" s="14">
        <f>VLOOKUP(A12,$AA$12:$AB$92,2,FALSE)+792177</f>
        <v>33457448</v>
      </c>
      <c r="W12" s="14">
        <f>U12-V12</f>
        <v>3642709</v>
      </c>
      <c r="X12" s="16">
        <f>IF(V12=0,100%,W12/V12)</f>
        <v>0.10887587720378435</v>
      </c>
      <c r="AA12" s="3" t="s">
        <v>24</v>
      </c>
      <c r="AB12" s="17">
        <v>32665271</v>
      </c>
    </row>
    <row r="13" spans="1:28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1137601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SUM(B13:T13)</f>
        <v>1137601</v>
      </c>
      <c r="V13" s="18">
        <f aca="true" t="shared" si="0" ref="V13:V50">VLOOKUP(A13,$AA$12:$AB$92,2,FALSE)</f>
        <v>779957</v>
      </c>
      <c r="W13" s="19">
        <f aca="true" t="shared" si="1" ref="W13:W76">U13-V13</f>
        <v>357644</v>
      </c>
      <c r="X13" s="16">
        <f aca="true" t="shared" si="2" ref="X13:X76">IF(V13=0,100%,W13/V13)</f>
        <v>0.45854322738304804</v>
      </c>
      <c r="AA13" s="3" t="s">
        <v>25</v>
      </c>
      <c r="AB13" s="17">
        <v>779957</v>
      </c>
    </row>
    <row r="14" spans="1:28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32439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63000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 aca="true" t="shared" si="3" ref="U14:U77">SUM(B14:T14)</f>
        <v>95439</v>
      </c>
      <c r="V14" s="18">
        <f t="shared" si="0"/>
        <v>23917</v>
      </c>
      <c r="W14" s="19">
        <f t="shared" si="1"/>
        <v>71522</v>
      </c>
      <c r="X14" s="16">
        <f t="shared" si="2"/>
        <v>2.9904252205544175</v>
      </c>
      <c r="AA14" s="3" t="s">
        <v>26</v>
      </c>
      <c r="AB14" s="17">
        <v>23917</v>
      </c>
    </row>
    <row r="15" spans="1:28" ht="12" customHeight="1">
      <c r="A15" s="13" t="s">
        <v>27</v>
      </c>
      <c r="B15" s="18">
        <v>0</v>
      </c>
      <c r="C15" s="18">
        <v>0</v>
      </c>
      <c r="D15" s="18">
        <v>0</v>
      </c>
      <c r="E15" s="18">
        <v>700</v>
      </c>
      <c r="F15" s="18">
        <v>0</v>
      </c>
      <c r="G15" s="18">
        <v>2047</v>
      </c>
      <c r="H15" s="18">
        <v>0</v>
      </c>
      <c r="I15" s="18">
        <v>0</v>
      </c>
      <c r="J15" s="18">
        <v>1984</v>
      </c>
      <c r="K15" s="18">
        <v>2714</v>
      </c>
      <c r="L15" s="18">
        <v>0</v>
      </c>
      <c r="M15" s="18">
        <v>0</v>
      </c>
      <c r="N15" s="18">
        <v>57906</v>
      </c>
      <c r="O15" s="18">
        <v>138899</v>
      </c>
      <c r="P15" s="18">
        <v>90000</v>
      </c>
      <c r="Q15" s="18">
        <v>340000</v>
      </c>
      <c r="R15" s="18">
        <v>0</v>
      </c>
      <c r="S15" s="18">
        <v>0</v>
      </c>
      <c r="T15" s="18">
        <v>23421</v>
      </c>
      <c r="U15" s="18">
        <f t="shared" si="3"/>
        <v>657671</v>
      </c>
      <c r="V15" s="18">
        <f t="shared" si="0"/>
        <v>611286</v>
      </c>
      <c r="W15" s="19">
        <f t="shared" si="1"/>
        <v>46385</v>
      </c>
      <c r="X15" s="16">
        <f t="shared" si="2"/>
        <v>0.07588101150688875</v>
      </c>
      <c r="AA15" s="3" t="s">
        <v>27</v>
      </c>
      <c r="AB15" s="17">
        <v>611286</v>
      </c>
    </row>
    <row r="16" spans="1:28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9042372+305215</f>
        <v>9347587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 t="shared" si="3"/>
        <v>9347587</v>
      </c>
      <c r="V16" s="18">
        <f>VLOOKUP(A16,$AA$12:$AB$92,2,FALSE)+141307</f>
        <v>6163845</v>
      </c>
      <c r="W16" s="19">
        <f t="shared" si="1"/>
        <v>3183742</v>
      </c>
      <c r="X16" s="16">
        <f t="shared" si="2"/>
        <v>0.5165188287505608</v>
      </c>
      <c r="AA16" s="3" t="s">
        <v>28</v>
      </c>
      <c r="AB16" s="17">
        <v>6022538</v>
      </c>
    </row>
    <row r="17" spans="1:28" ht="12" customHeight="1">
      <c r="A17" s="13" t="s">
        <v>29</v>
      </c>
      <c r="B17" s="18">
        <f>33023+1623</f>
        <v>34646</v>
      </c>
      <c r="C17" s="18">
        <v>8419</v>
      </c>
      <c r="D17" s="18">
        <f>28467+1543</f>
        <v>30010</v>
      </c>
      <c r="E17" s="18">
        <f>160840+8205</f>
        <v>169045</v>
      </c>
      <c r="F17" s="18">
        <f>51441+2688</f>
        <v>54129</v>
      </c>
      <c r="G17" s="18">
        <f>100194+5530</f>
        <v>105724</v>
      </c>
      <c r="H17" s="18">
        <f>77324+4498</f>
        <v>81822</v>
      </c>
      <c r="I17" s="18">
        <f>73461+2486</f>
        <v>75947</v>
      </c>
      <c r="J17" s="18">
        <v>116059</v>
      </c>
      <c r="K17" s="18">
        <f>154513+5962</f>
        <v>160475</v>
      </c>
      <c r="L17" s="20">
        <v>-104550</v>
      </c>
      <c r="M17" s="18">
        <f>49442+2817</f>
        <v>52259</v>
      </c>
      <c r="N17" s="18">
        <f>531886+28862</f>
        <v>560748</v>
      </c>
      <c r="O17" s="18">
        <f>757410+55531</f>
        <v>812941</v>
      </c>
      <c r="P17" s="18">
        <f>760940+24876</f>
        <v>785816</v>
      </c>
      <c r="Q17" s="18">
        <v>1007889</v>
      </c>
      <c r="R17" s="18">
        <f>58984+3198</f>
        <v>62182</v>
      </c>
      <c r="S17" s="18">
        <v>147084</v>
      </c>
      <c r="T17" s="18">
        <v>491628</v>
      </c>
      <c r="U17" s="18">
        <f t="shared" si="3"/>
        <v>4652273</v>
      </c>
      <c r="V17" s="18">
        <f>VLOOKUP(A17,$AA$12:$AB$92,2,FALSE)+120190</f>
        <v>4451536</v>
      </c>
      <c r="W17" s="19">
        <f t="shared" si="1"/>
        <v>200737</v>
      </c>
      <c r="X17" s="16">
        <f t="shared" si="2"/>
        <v>0.04509387321589672</v>
      </c>
      <c r="AA17" s="3" t="s">
        <v>29</v>
      </c>
      <c r="AB17" s="17">
        <v>4331346</v>
      </c>
    </row>
    <row r="18" spans="1:28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4056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8102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 t="shared" si="3"/>
        <v>12158</v>
      </c>
      <c r="V18" s="18">
        <f t="shared" si="0"/>
        <v>3167</v>
      </c>
      <c r="W18" s="19">
        <f t="shared" si="1"/>
        <v>8991</v>
      </c>
      <c r="X18" s="16">
        <f t="shared" si="2"/>
        <v>2.838964319545311</v>
      </c>
      <c r="AA18" s="3" t="s">
        <v>30</v>
      </c>
      <c r="AB18" s="17">
        <v>3167</v>
      </c>
    </row>
    <row r="19" spans="1:28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143090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3"/>
        <v>143090</v>
      </c>
      <c r="V19" s="18">
        <f t="shared" si="0"/>
        <v>148080</v>
      </c>
      <c r="W19" s="19">
        <f t="shared" si="1"/>
        <v>-4990</v>
      </c>
      <c r="X19" s="16">
        <f t="shared" si="2"/>
        <v>-0.03369800108049703</v>
      </c>
      <c r="AA19" s="3" t="s">
        <v>31</v>
      </c>
      <c r="AB19" s="17">
        <v>148080</v>
      </c>
    </row>
    <row r="20" spans="1:28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25894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 t="shared" si="3"/>
        <v>25894</v>
      </c>
      <c r="V20" s="18">
        <f t="shared" si="0"/>
        <v>32000</v>
      </c>
      <c r="W20" s="19">
        <f t="shared" si="1"/>
        <v>-6106</v>
      </c>
      <c r="X20" s="16">
        <f t="shared" si="2"/>
        <v>-0.1908125</v>
      </c>
      <c r="AA20" s="3" t="s">
        <v>32</v>
      </c>
      <c r="AB20" s="17">
        <v>32000</v>
      </c>
    </row>
    <row r="21" spans="1:28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f t="shared" si="3"/>
        <v>200000</v>
      </c>
      <c r="V21" s="18">
        <f t="shared" si="0"/>
        <v>200000</v>
      </c>
      <c r="W21" s="19">
        <f t="shared" si="1"/>
        <v>0</v>
      </c>
      <c r="X21" s="16">
        <f t="shared" si="2"/>
        <v>0</v>
      </c>
      <c r="AA21" s="3" t="s">
        <v>33</v>
      </c>
      <c r="AB21" s="17">
        <v>200000</v>
      </c>
    </row>
    <row r="22" spans="1:28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 t="shared" si="3"/>
        <v>1920000</v>
      </c>
      <c r="V22" s="18">
        <f t="shared" si="0"/>
        <v>3933001</v>
      </c>
      <c r="W22" s="19">
        <f t="shared" si="1"/>
        <v>-2013001</v>
      </c>
      <c r="X22" s="16">
        <f t="shared" si="2"/>
        <v>-0.5118231599737707</v>
      </c>
      <c r="AA22" s="3" t="s">
        <v>34</v>
      </c>
      <c r="AB22" s="17">
        <v>3933001</v>
      </c>
    </row>
    <row r="23" spans="1:28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350524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si="3"/>
        <v>350524</v>
      </c>
      <c r="V23" s="18">
        <f t="shared" si="0"/>
        <v>323960</v>
      </c>
      <c r="W23" s="19">
        <f t="shared" si="1"/>
        <v>26564</v>
      </c>
      <c r="X23" s="16">
        <f t="shared" si="2"/>
        <v>0.08199777750339549</v>
      </c>
      <c r="AA23" s="3" t="s">
        <v>35</v>
      </c>
      <c r="AB23" s="17">
        <v>323960</v>
      </c>
    </row>
    <row r="24" spans="1:28" ht="12" customHeight="1">
      <c r="A24" s="13" t="s">
        <v>36</v>
      </c>
      <c r="B24" s="18">
        <v>2046</v>
      </c>
      <c r="C24" s="18">
        <v>45842</v>
      </c>
      <c r="D24" s="18">
        <v>0</v>
      </c>
      <c r="E24" s="18">
        <v>2200</v>
      </c>
      <c r="F24" s="18">
        <v>0</v>
      </c>
      <c r="G24" s="18">
        <v>6643</v>
      </c>
      <c r="H24" s="18">
        <v>565</v>
      </c>
      <c r="I24" s="18">
        <v>0</v>
      </c>
      <c r="J24" s="18">
        <v>1349</v>
      </c>
      <c r="K24" s="18">
        <v>11688</v>
      </c>
      <c r="L24" s="18">
        <v>0</v>
      </c>
      <c r="M24" s="18">
        <v>6360</v>
      </c>
      <c r="N24" s="18">
        <v>9104</v>
      </c>
      <c r="O24" s="18">
        <v>11080</v>
      </c>
      <c r="P24" s="18">
        <v>0</v>
      </c>
      <c r="Q24" s="18">
        <v>2100</v>
      </c>
      <c r="R24" s="18">
        <v>880</v>
      </c>
      <c r="S24" s="18">
        <v>0</v>
      </c>
      <c r="T24" s="18">
        <v>0</v>
      </c>
      <c r="U24" s="18">
        <f t="shared" si="3"/>
        <v>99857</v>
      </c>
      <c r="V24" s="18">
        <f t="shared" si="0"/>
        <v>105718</v>
      </c>
      <c r="W24" s="19">
        <f t="shared" si="1"/>
        <v>-5861</v>
      </c>
      <c r="X24" s="16">
        <f t="shared" si="2"/>
        <v>-0.0554399440019675</v>
      </c>
      <c r="AA24" s="3" t="s">
        <v>36</v>
      </c>
      <c r="AB24" s="17">
        <v>105718</v>
      </c>
    </row>
    <row r="25" spans="1:28" ht="12" customHeight="1">
      <c r="A25" s="13" t="s">
        <v>37</v>
      </c>
      <c r="B25" s="18">
        <v>120176</v>
      </c>
      <c r="C25" s="18">
        <v>0</v>
      </c>
      <c r="D25" s="18">
        <v>495215</v>
      </c>
      <c r="E25" s="18">
        <v>900</v>
      </c>
      <c r="F25" s="18">
        <f>530700+100000</f>
        <v>630700</v>
      </c>
      <c r="G25" s="18">
        <v>127644</v>
      </c>
      <c r="H25" s="18">
        <v>42995</v>
      </c>
      <c r="I25" s="18">
        <v>0</v>
      </c>
      <c r="J25" s="18">
        <v>151809</v>
      </c>
      <c r="K25" s="18">
        <v>1014637</v>
      </c>
      <c r="L25" s="18">
        <v>0</v>
      </c>
      <c r="M25" s="18">
        <v>127198</v>
      </c>
      <c r="N25" s="18">
        <v>6331136</v>
      </c>
      <c r="O25" s="18">
        <f>1629274+774515</f>
        <v>2403789</v>
      </c>
      <c r="P25" s="18">
        <v>4068402</v>
      </c>
      <c r="Q25" s="18">
        <v>100000</v>
      </c>
      <c r="R25" s="18">
        <f>950000+53700</f>
        <v>1003700</v>
      </c>
      <c r="S25" s="18">
        <v>29480</v>
      </c>
      <c r="T25" s="18">
        <v>39461</v>
      </c>
      <c r="U25" s="18">
        <f t="shared" si="3"/>
        <v>16687242</v>
      </c>
      <c r="V25" s="18">
        <f>VLOOKUP(A25,$AA$12:$AB$92,2,FALSE)+153700</f>
        <v>21729940</v>
      </c>
      <c r="W25" s="19">
        <f t="shared" si="1"/>
        <v>-5042698</v>
      </c>
      <c r="X25" s="16">
        <f t="shared" si="2"/>
        <v>-0.23206221462185353</v>
      </c>
      <c r="AA25" s="3" t="s">
        <v>37</v>
      </c>
      <c r="AB25" s="17">
        <v>21576240</v>
      </c>
    </row>
    <row r="26" spans="1:28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4220000+500000</f>
        <v>4720000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f t="shared" si="3"/>
        <v>4720000</v>
      </c>
      <c r="V26" s="18">
        <f>VLOOKUP(A26,$AA$12:$AB$92,2,FALSE)+500000</f>
        <v>3350000</v>
      </c>
      <c r="W26" s="19">
        <f t="shared" si="1"/>
        <v>1370000</v>
      </c>
      <c r="X26" s="16">
        <f t="shared" si="2"/>
        <v>0.408955223880597</v>
      </c>
      <c r="AA26" s="3" t="s">
        <v>38</v>
      </c>
      <c r="AB26" s="17">
        <v>2850000</v>
      </c>
    </row>
    <row r="27" spans="1:28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198239+30000</f>
        <v>228239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f t="shared" si="3"/>
        <v>228239</v>
      </c>
      <c r="V27" s="18">
        <f>VLOOKUP(A27,$AA$12:$AB$92,2,FALSE)+11210</f>
        <v>203818</v>
      </c>
      <c r="W27" s="19">
        <f t="shared" si="1"/>
        <v>24421</v>
      </c>
      <c r="X27" s="16">
        <f t="shared" si="2"/>
        <v>0.1198176804796436</v>
      </c>
      <c r="AA27" s="3" t="s">
        <v>39</v>
      </c>
      <c r="AB27" s="17">
        <v>192608</v>
      </c>
    </row>
    <row r="28" spans="1:28" ht="12" customHeight="1">
      <c r="A28" s="13" t="s">
        <v>40</v>
      </c>
      <c r="B28" s="18">
        <v>0</v>
      </c>
      <c r="C28" s="18">
        <v>0</v>
      </c>
      <c r="D28" s="18">
        <v>468500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f t="shared" si="3"/>
        <v>468500</v>
      </c>
      <c r="V28" s="18">
        <f t="shared" si="0"/>
        <v>503250</v>
      </c>
      <c r="W28" s="19">
        <f t="shared" si="1"/>
        <v>-34750</v>
      </c>
      <c r="X28" s="16">
        <f t="shared" si="2"/>
        <v>-0.06905116741182316</v>
      </c>
      <c r="AA28" s="3" t="s">
        <v>40</v>
      </c>
      <c r="AB28" s="17">
        <v>503250</v>
      </c>
    </row>
    <row r="29" spans="1:28" ht="12" customHeight="1">
      <c r="A29" s="13" t="s">
        <v>41</v>
      </c>
      <c r="B29" s="18">
        <v>0</v>
      </c>
      <c r="C29" s="18">
        <v>0</v>
      </c>
      <c r="D29" s="18">
        <v>94000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f t="shared" si="3"/>
        <v>94000</v>
      </c>
      <c r="V29" s="18">
        <f t="shared" si="0"/>
        <v>100000</v>
      </c>
      <c r="W29" s="19">
        <f t="shared" si="1"/>
        <v>-6000</v>
      </c>
      <c r="X29" s="16">
        <f t="shared" si="2"/>
        <v>-0.06</v>
      </c>
      <c r="AA29" s="3" t="s">
        <v>41</v>
      </c>
      <c r="AB29" s="17">
        <v>100000</v>
      </c>
    </row>
    <row r="30" spans="1:28" ht="12" customHeight="1">
      <c r="A30" s="13" t="s">
        <v>42</v>
      </c>
      <c r="B30" s="18">
        <v>0</v>
      </c>
      <c r="C30" s="18">
        <v>0</v>
      </c>
      <c r="D30" s="18">
        <v>3821713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f t="shared" si="3"/>
        <v>3821713</v>
      </c>
      <c r="V30" s="18">
        <f t="shared" si="0"/>
        <v>4385000</v>
      </c>
      <c r="W30" s="19">
        <f t="shared" si="1"/>
        <v>-563287</v>
      </c>
      <c r="X30" s="16">
        <f t="shared" si="2"/>
        <v>-0.12845769669327253</v>
      </c>
      <c r="AA30" s="3" t="s">
        <v>42</v>
      </c>
      <c r="AB30" s="17">
        <v>4385000</v>
      </c>
    </row>
    <row r="31" spans="1:28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1401390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750000</v>
      </c>
      <c r="U31" s="18">
        <f t="shared" si="3"/>
        <v>2151390</v>
      </c>
      <c r="V31" s="18">
        <f t="shared" si="0"/>
        <v>3180000</v>
      </c>
      <c r="W31" s="19">
        <f t="shared" si="1"/>
        <v>-1028610</v>
      </c>
      <c r="X31" s="16">
        <f t="shared" si="2"/>
        <v>-0.3234622641509434</v>
      </c>
      <c r="AA31" s="3" t="s">
        <v>43</v>
      </c>
      <c r="AB31" s="17">
        <v>3180000</v>
      </c>
    </row>
    <row r="32" spans="1:28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5602076</v>
      </c>
      <c r="U32" s="18">
        <f t="shared" si="3"/>
        <v>5602076</v>
      </c>
      <c r="V32" s="18">
        <f t="shared" si="0"/>
        <v>4876351</v>
      </c>
      <c r="W32" s="19">
        <f t="shared" si="1"/>
        <v>725725</v>
      </c>
      <c r="X32" s="16">
        <f t="shared" si="2"/>
        <v>0.14882542294432866</v>
      </c>
      <c r="AA32" s="3" t="s">
        <v>44</v>
      </c>
      <c r="AB32" s="17">
        <v>4876351</v>
      </c>
    </row>
    <row r="33" spans="1:28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19503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3"/>
        <v>19503</v>
      </c>
      <c r="V33" s="18">
        <f t="shared" si="0"/>
        <v>19592</v>
      </c>
      <c r="W33" s="19">
        <f t="shared" si="1"/>
        <v>-89</v>
      </c>
      <c r="X33" s="16">
        <f t="shared" si="2"/>
        <v>-0.0045426704777460185</v>
      </c>
      <c r="AA33" s="3" t="s">
        <v>45</v>
      </c>
      <c r="AB33" s="17">
        <v>19592</v>
      </c>
    </row>
    <row r="34" spans="1:28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4596611</v>
      </c>
      <c r="Q34" s="18">
        <v>7353917</v>
      </c>
      <c r="R34" s="18">
        <v>0</v>
      </c>
      <c r="S34" s="18">
        <v>0</v>
      </c>
      <c r="T34" s="18">
        <v>4525</v>
      </c>
      <c r="U34" s="18">
        <f t="shared" si="3"/>
        <v>11955053</v>
      </c>
      <c r="V34" s="18">
        <f t="shared" si="0"/>
        <v>11885519</v>
      </c>
      <c r="W34" s="19">
        <f t="shared" si="1"/>
        <v>69534</v>
      </c>
      <c r="X34" s="16">
        <f t="shared" si="2"/>
        <v>0.005850312468475293</v>
      </c>
      <c r="AA34" s="3" t="s">
        <v>46</v>
      </c>
      <c r="AB34" s="17">
        <v>11885519</v>
      </c>
    </row>
    <row r="35" spans="1:28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2134500</v>
      </c>
      <c r="R35" s="18">
        <v>0</v>
      </c>
      <c r="S35" s="18">
        <v>0</v>
      </c>
      <c r="T35" s="18">
        <v>0</v>
      </c>
      <c r="U35" s="18">
        <f t="shared" si="3"/>
        <v>2134500</v>
      </c>
      <c r="V35" s="18">
        <f t="shared" si="0"/>
        <v>2040000</v>
      </c>
      <c r="W35" s="19">
        <f t="shared" si="1"/>
        <v>94500</v>
      </c>
      <c r="X35" s="16">
        <f t="shared" si="2"/>
        <v>0.04632352941176471</v>
      </c>
      <c r="AA35" s="3" t="s">
        <v>47</v>
      </c>
      <c r="AB35" s="17">
        <v>2040000</v>
      </c>
    </row>
    <row r="36" spans="1:28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12764000</v>
      </c>
      <c r="Q36" s="18">
        <v>1421804</v>
      </c>
      <c r="R36" s="18">
        <v>0</v>
      </c>
      <c r="S36" s="18">
        <v>0</v>
      </c>
      <c r="T36" s="18">
        <v>0</v>
      </c>
      <c r="U36" s="18">
        <f t="shared" si="3"/>
        <v>14185804</v>
      </c>
      <c r="V36" s="18">
        <f t="shared" si="0"/>
        <v>7869102</v>
      </c>
      <c r="W36" s="19">
        <f t="shared" si="1"/>
        <v>6316702</v>
      </c>
      <c r="X36" s="16">
        <f t="shared" si="2"/>
        <v>0.8027220895090698</v>
      </c>
      <c r="AA36" s="3" t="s">
        <v>48</v>
      </c>
      <c r="AB36" s="17">
        <v>7869102</v>
      </c>
    </row>
    <row r="37" spans="1:28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95000</v>
      </c>
      <c r="R37" s="18">
        <v>0</v>
      </c>
      <c r="S37" s="18">
        <v>0</v>
      </c>
      <c r="T37" s="18">
        <v>0</v>
      </c>
      <c r="U37" s="18">
        <f t="shared" si="3"/>
        <v>95000</v>
      </c>
      <c r="V37" s="18">
        <f t="shared" si="0"/>
        <v>55000</v>
      </c>
      <c r="W37" s="19">
        <f t="shared" si="1"/>
        <v>40000</v>
      </c>
      <c r="X37" s="16">
        <f t="shared" si="2"/>
        <v>0.7272727272727273</v>
      </c>
      <c r="AA37" s="3" t="s">
        <v>49</v>
      </c>
      <c r="AB37" s="17">
        <v>55000</v>
      </c>
    </row>
    <row r="38" spans="1:28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1213000</v>
      </c>
      <c r="R38" s="18">
        <v>0</v>
      </c>
      <c r="S38" s="18">
        <v>0</v>
      </c>
      <c r="T38" s="18">
        <v>0</v>
      </c>
      <c r="U38" s="18">
        <f t="shared" si="3"/>
        <v>1213000</v>
      </c>
      <c r="V38" s="18">
        <f t="shared" si="0"/>
        <v>0</v>
      </c>
      <c r="W38" s="19">
        <f t="shared" si="1"/>
        <v>1213000</v>
      </c>
      <c r="X38" s="16">
        <f t="shared" si="2"/>
        <v>1</v>
      </c>
      <c r="AA38" s="3" t="s">
        <v>50</v>
      </c>
      <c r="AB38" s="17">
        <v>0</v>
      </c>
    </row>
    <row r="39" spans="1:28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6930000</v>
      </c>
      <c r="R39" s="18">
        <v>0</v>
      </c>
      <c r="S39" s="18">
        <v>0</v>
      </c>
      <c r="T39" s="18">
        <v>0</v>
      </c>
      <c r="U39" s="18">
        <f t="shared" si="3"/>
        <v>6930000</v>
      </c>
      <c r="V39" s="18">
        <f t="shared" si="0"/>
        <v>4085000</v>
      </c>
      <c r="W39" s="19">
        <f t="shared" si="1"/>
        <v>2845000</v>
      </c>
      <c r="X39" s="16">
        <f t="shared" si="2"/>
        <v>0.6964504283965728</v>
      </c>
      <c r="AA39" s="3" t="s">
        <v>51</v>
      </c>
      <c r="AB39" s="17">
        <v>4085000</v>
      </c>
    </row>
    <row r="40" spans="1:28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7283395</v>
      </c>
      <c r="R40" s="18">
        <v>0</v>
      </c>
      <c r="S40" s="18">
        <v>0</v>
      </c>
      <c r="T40" s="18">
        <v>0</v>
      </c>
      <c r="U40" s="18">
        <f t="shared" si="3"/>
        <v>7283395</v>
      </c>
      <c r="V40" s="18">
        <f t="shared" si="0"/>
        <v>2160000</v>
      </c>
      <c r="W40" s="19">
        <f t="shared" si="1"/>
        <v>5123395</v>
      </c>
      <c r="X40" s="16">
        <f t="shared" si="2"/>
        <v>2.3719421296296295</v>
      </c>
      <c r="AA40" s="3" t="s">
        <v>52</v>
      </c>
      <c r="AB40" s="17">
        <v>2160000</v>
      </c>
    </row>
    <row r="41" spans="1:28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1065000</v>
      </c>
      <c r="R41" s="18">
        <v>0</v>
      </c>
      <c r="S41" s="18">
        <v>0</v>
      </c>
      <c r="T41" s="18">
        <v>0</v>
      </c>
      <c r="U41" s="18">
        <f t="shared" si="3"/>
        <v>1065000</v>
      </c>
      <c r="V41" s="18">
        <f t="shared" si="0"/>
        <v>0</v>
      </c>
      <c r="W41" s="19">
        <f t="shared" si="1"/>
        <v>1065000</v>
      </c>
      <c r="X41" s="16">
        <f t="shared" si="2"/>
        <v>1</v>
      </c>
      <c r="AA41" s="3" t="s">
        <v>53</v>
      </c>
      <c r="AB41" s="17">
        <v>0</v>
      </c>
    </row>
    <row r="42" spans="1:28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36042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si="3"/>
        <v>36042</v>
      </c>
      <c r="V42" s="18">
        <f t="shared" si="0"/>
        <v>41191</v>
      </c>
      <c r="W42" s="19">
        <f t="shared" si="1"/>
        <v>-5149</v>
      </c>
      <c r="X42" s="16">
        <f t="shared" si="2"/>
        <v>-0.12500303464349008</v>
      </c>
      <c r="AA42" s="3" t="s">
        <v>54</v>
      </c>
      <c r="AB42" s="17">
        <v>41191</v>
      </c>
    </row>
    <row r="43" spans="1:28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v>0</v>
      </c>
      <c r="N43" s="18">
        <v>52808</v>
      </c>
      <c r="O43" s="18">
        <v>0</v>
      </c>
      <c r="P43" s="18">
        <v>0</v>
      </c>
      <c r="Q43" s="18">
        <v>171350</v>
      </c>
      <c r="R43" s="18">
        <v>0</v>
      </c>
      <c r="S43" s="18">
        <v>0</v>
      </c>
      <c r="T43" s="18">
        <v>0</v>
      </c>
      <c r="U43" s="18">
        <f t="shared" si="3"/>
        <v>334158</v>
      </c>
      <c r="V43" s="18">
        <f t="shared" si="0"/>
        <v>152916</v>
      </c>
      <c r="W43" s="19">
        <f t="shared" si="1"/>
        <v>181242</v>
      </c>
      <c r="X43" s="16">
        <f t="shared" si="2"/>
        <v>1.1852389547202387</v>
      </c>
      <c r="AA43" s="3" t="s">
        <v>55</v>
      </c>
      <c r="AB43" s="17">
        <v>152916</v>
      </c>
    </row>
    <row r="44" spans="1:28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1448637</v>
      </c>
      <c r="U44" s="18">
        <f t="shared" si="3"/>
        <v>1448637</v>
      </c>
      <c r="V44" s="18">
        <f t="shared" si="0"/>
        <v>1281853</v>
      </c>
      <c r="W44" s="19">
        <f t="shared" si="1"/>
        <v>166784</v>
      </c>
      <c r="X44" s="16">
        <f t="shared" si="2"/>
        <v>0.1301116430667167</v>
      </c>
      <c r="AA44" s="3" t="s">
        <v>56</v>
      </c>
      <c r="AB44" s="17">
        <v>1281853</v>
      </c>
    </row>
    <row r="45" spans="1:28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1032049</v>
      </c>
      <c r="O45" s="18">
        <f>8326937+519850</f>
        <v>8846787</v>
      </c>
      <c r="P45" s="18">
        <v>0</v>
      </c>
      <c r="Q45" s="18">
        <v>0</v>
      </c>
      <c r="R45" s="18">
        <v>0</v>
      </c>
      <c r="S45" s="18">
        <v>0</v>
      </c>
      <c r="T45" s="18">
        <v>2558</v>
      </c>
      <c r="U45" s="18">
        <f t="shared" si="3"/>
        <v>9881479</v>
      </c>
      <c r="V45" s="18">
        <f t="shared" si="0"/>
        <v>7971456</v>
      </c>
      <c r="W45" s="19">
        <f t="shared" si="1"/>
        <v>1910023</v>
      </c>
      <c r="X45" s="16">
        <f t="shared" si="2"/>
        <v>0.23960779561475343</v>
      </c>
      <c r="AA45" s="3" t="s">
        <v>57</v>
      </c>
      <c r="AB45" s="17">
        <v>7971456</v>
      </c>
    </row>
    <row r="46" spans="1:28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848078</v>
      </c>
      <c r="Q46" s="18">
        <v>0</v>
      </c>
      <c r="R46" s="18">
        <v>0</v>
      </c>
      <c r="S46" s="18">
        <v>0</v>
      </c>
      <c r="T46" s="18">
        <v>0</v>
      </c>
      <c r="U46" s="18">
        <f t="shared" si="3"/>
        <v>848078</v>
      </c>
      <c r="V46" s="18">
        <f t="shared" si="0"/>
        <v>858181</v>
      </c>
      <c r="W46" s="19">
        <f t="shared" si="1"/>
        <v>-10103</v>
      </c>
      <c r="X46" s="16">
        <f t="shared" si="2"/>
        <v>-0.01177257478317511</v>
      </c>
      <c r="AA46" s="3" t="s">
        <v>58</v>
      </c>
      <c r="AB46" s="17">
        <v>858181</v>
      </c>
    </row>
    <row r="47" spans="1:28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130661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3"/>
        <v>130661</v>
      </c>
      <c r="V47" s="18">
        <f t="shared" si="0"/>
        <v>153380</v>
      </c>
      <c r="W47" s="19">
        <f t="shared" si="1"/>
        <v>-22719</v>
      </c>
      <c r="X47" s="16">
        <f t="shared" si="2"/>
        <v>-0.1481223106011214</v>
      </c>
      <c r="AA47" s="3" t="s">
        <v>60</v>
      </c>
      <c r="AB47" s="17">
        <v>0</v>
      </c>
    </row>
    <row r="48" spans="1:28" ht="12" customHeight="1">
      <c r="A48" s="13" t="s">
        <v>61</v>
      </c>
      <c r="B48" s="18">
        <v>0</v>
      </c>
      <c r="C48" s="18">
        <v>0</v>
      </c>
      <c r="D48" s="18">
        <v>1100</v>
      </c>
      <c r="E48" s="18">
        <v>0</v>
      </c>
      <c r="F48" s="18">
        <v>0</v>
      </c>
      <c r="G48" s="18">
        <v>0</v>
      </c>
      <c r="H48" s="18">
        <v>339</v>
      </c>
      <c r="I48" s="18">
        <v>0</v>
      </c>
      <c r="J48" s="18">
        <v>5284</v>
      </c>
      <c r="K48" s="18">
        <f>489800+250000</f>
        <v>739800</v>
      </c>
      <c r="L48" s="18">
        <v>0</v>
      </c>
      <c r="M48" s="18">
        <v>0</v>
      </c>
      <c r="N48" s="18">
        <v>0</v>
      </c>
      <c r="O48" s="18">
        <v>5472</v>
      </c>
      <c r="P48" s="18">
        <v>0</v>
      </c>
      <c r="Q48" s="18">
        <v>8700</v>
      </c>
      <c r="R48" s="18">
        <v>0</v>
      </c>
      <c r="S48" s="18">
        <v>0</v>
      </c>
      <c r="T48" s="18">
        <v>0</v>
      </c>
      <c r="U48" s="18">
        <f t="shared" si="3"/>
        <v>760695</v>
      </c>
      <c r="V48" s="18">
        <f>VLOOKUP(A48,$AA$12:$AB$92,2,FALSE)+250000</f>
        <v>736595</v>
      </c>
      <c r="W48" s="19">
        <f t="shared" si="1"/>
        <v>24100</v>
      </c>
      <c r="X48" s="16">
        <f t="shared" si="2"/>
        <v>0.03271811511074607</v>
      </c>
      <c r="AA48" s="3" t="s">
        <v>59</v>
      </c>
      <c r="AB48" s="17">
        <v>153380</v>
      </c>
    </row>
    <row r="49" spans="1:28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193050+250000</f>
        <v>443050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f t="shared" si="3"/>
        <v>443050</v>
      </c>
      <c r="V49" s="18">
        <f>VLOOKUP(A49,$AA$12:$AB$92,2,FALSE)+250000</f>
        <v>425500</v>
      </c>
      <c r="W49" s="19">
        <f t="shared" si="1"/>
        <v>17550</v>
      </c>
      <c r="X49" s="16">
        <f t="shared" si="2"/>
        <v>0.04124559341950646</v>
      </c>
      <c r="AA49" s="3" t="s">
        <v>61</v>
      </c>
      <c r="AB49" s="17">
        <v>486595</v>
      </c>
    </row>
    <row r="50" spans="1:28" ht="12" customHeight="1">
      <c r="A50" s="13" t="s">
        <v>63</v>
      </c>
      <c r="B50" s="18">
        <v>11666</v>
      </c>
      <c r="C50" s="18">
        <v>0</v>
      </c>
      <c r="D50" s="18">
        <v>0</v>
      </c>
      <c r="E50" s="18">
        <v>260</v>
      </c>
      <c r="F50" s="18">
        <v>0</v>
      </c>
      <c r="G50" s="18">
        <v>66370</v>
      </c>
      <c r="H50" s="18">
        <v>0</v>
      </c>
      <c r="I50" s="18">
        <v>0</v>
      </c>
      <c r="J50" s="18">
        <v>56783</v>
      </c>
      <c r="K50" s="18">
        <v>322389</v>
      </c>
      <c r="L50" s="18">
        <v>0</v>
      </c>
      <c r="M50" s="18">
        <v>17399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6610</v>
      </c>
      <c r="U50" s="18">
        <f t="shared" si="3"/>
        <v>481477</v>
      </c>
      <c r="V50" s="18">
        <f t="shared" si="0"/>
        <v>637835</v>
      </c>
      <c r="W50" s="19">
        <f t="shared" si="1"/>
        <v>-156358</v>
      </c>
      <c r="X50" s="16">
        <f t="shared" si="2"/>
        <v>-0.24513863303205374</v>
      </c>
      <c r="AA50" s="3" t="s">
        <v>62</v>
      </c>
      <c r="AB50" s="17">
        <v>175500</v>
      </c>
    </row>
    <row r="51" spans="1:28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1500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f t="shared" si="3"/>
        <v>1500</v>
      </c>
      <c r="V51" s="18">
        <v>0</v>
      </c>
      <c r="W51" s="19">
        <f t="shared" si="1"/>
        <v>1500</v>
      </c>
      <c r="X51" s="16">
        <f t="shared" si="2"/>
        <v>1</v>
      </c>
      <c r="AA51" s="3" t="s">
        <v>63</v>
      </c>
      <c r="AB51" s="17">
        <v>637835</v>
      </c>
    </row>
    <row r="52" spans="1:28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6946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si="3"/>
        <v>7946</v>
      </c>
      <c r="V52" s="18">
        <f aca="true" t="shared" si="4" ref="V52:V90">VLOOKUP(A52,$AA$12:$AB$92,2,FALSE)</f>
        <v>8230</v>
      </c>
      <c r="W52" s="19">
        <f t="shared" si="1"/>
        <v>-284</v>
      </c>
      <c r="X52" s="16">
        <f t="shared" si="2"/>
        <v>-0.03450789793438639</v>
      </c>
      <c r="AA52" s="3" t="s">
        <v>65</v>
      </c>
      <c r="AB52" s="17">
        <v>8230</v>
      </c>
    </row>
    <row r="53" spans="1:28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53428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3"/>
        <v>53428</v>
      </c>
      <c r="V53" s="18">
        <f t="shared" si="4"/>
        <v>116964</v>
      </c>
      <c r="W53" s="19">
        <f t="shared" si="1"/>
        <v>-63536</v>
      </c>
      <c r="X53" s="16">
        <f t="shared" si="2"/>
        <v>-0.5432098765432098</v>
      </c>
      <c r="AA53" s="3" t="s">
        <v>66</v>
      </c>
      <c r="AB53" s="17">
        <v>116964</v>
      </c>
    </row>
    <row r="54" spans="1:28" ht="12" customHeight="1">
      <c r="A54" s="13" t="s">
        <v>67</v>
      </c>
      <c r="B54" s="18">
        <v>12013</v>
      </c>
      <c r="C54" s="18">
        <v>12395</v>
      </c>
      <c r="D54" s="18">
        <v>4200</v>
      </c>
      <c r="E54" s="18">
        <v>10751</v>
      </c>
      <c r="F54" s="18">
        <v>5200</v>
      </c>
      <c r="G54" s="18">
        <v>4906</v>
      </c>
      <c r="H54" s="18">
        <v>12229</v>
      </c>
      <c r="I54" s="18">
        <v>9613</v>
      </c>
      <c r="J54" s="18">
        <v>12681</v>
      </c>
      <c r="K54" s="18">
        <v>28855</v>
      </c>
      <c r="L54" s="18">
        <v>0</v>
      </c>
      <c r="M54" s="18">
        <v>16960</v>
      </c>
      <c r="N54" s="18">
        <v>9861</v>
      </c>
      <c r="O54" s="18">
        <v>3650</v>
      </c>
      <c r="P54" s="18">
        <v>22219</v>
      </c>
      <c r="Q54" s="18">
        <v>21500</v>
      </c>
      <c r="R54" s="18">
        <v>25278</v>
      </c>
      <c r="S54" s="18">
        <v>10208</v>
      </c>
      <c r="T54" s="18">
        <v>14367</v>
      </c>
      <c r="U54" s="18">
        <f t="shared" si="3"/>
        <v>236886</v>
      </c>
      <c r="V54" s="18">
        <f t="shared" si="4"/>
        <v>251467</v>
      </c>
      <c r="W54" s="19">
        <f t="shared" si="1"/>
        <v>-14581</v>
      </c>
      <c r="X54" s="16">
        <f t="shared" si="2"/>
        <v>-0.05798375134709525</v>
      </c>
      <c r="AA54" s="3" t="s">
        <v>67</v>
      </c>
      <c r="AB54" s="17">
        <v>251467</v>
      </c>
    </row>
    <row r="55" spans="1:28" ht="12" customHeight="1">
      <c r="A55" s="13" t="s">
        <v>68</v>
      </c>
      <c r="B55" s="18">
        <v>43775</v>
      </c>
      <c r="C55" s="18">
        <v>0</v>
      </c>
      <c r="D55" s="18">
        <v>2500</v>
      </c>
      <c r="E55" s="18">
        <v>3711</v>
      </c>
      <c r="F55" s="18">
        <v>650</v>
      </c>
      <c r="G55" s="18">
        <v>20136</v>
      </c>
      <c r="H55" s="18">
        <v>4074</v>
      </c>
      <c r="I55" s="18">
        <v>45664</v>
      </c>
      <c r="J55" s="18">
        <v>76913</v>
      </c>
      <c r="K55" s="18">
        <v>11625</v>
      </c>
      <c r="L55" s="18">
        <v>980</v>
      </c>
      <c r="M55" s="18">
        <v>2491</v>
      </c>
      <c r="N55" s="18">
        <v>2393</v>
      </c>
      <c r="O55" s="18">
        <v>1073</v>
      </c>
      <c r="P55" s="18">
        <v>5544</v>
      </c>
      <c r="Q55" s="18">
        <v>19544</v>
      </c>
      <c r="R55" s="18">
        <v>9535</v>
      </c>
      <c r="S55" s="18">
        <v>3924</v>
      </c>
      <c r="T55" s="18">
        <v>4861</v>
      </c>
      <c r="U55" s="18">
        <f t="shared" si="3"/>
        <v>259393</v>
      </c>
      <c r="V55" s="18">
        <f t="shared" si="4"/>
        <v>219284</v>
      </c>
      <c r="W55" s="19">
        <f t="shared" si="1"/>
        <v>40109</v>
      </c>
      <c r="X55" s="16">
        <f t="shared" si="2"/>
        <v>0.18290892176355775</v>
      </c>
      <c r="AA55" s="3" t="s">
        <v>68</v>
      </c>
      <c r="AB55" s="17">
        <v>219284</v>
      </c>
    </row>
    <row r="56" spans="1:28" ht="12" customHeight="1">
      <c r="A56" s="13" t="s">
        <v>69</v>
      </c>
      <c r="B56" s="18">
        <v>7282</v>
      </c>
      <c r="C56" s="18">
        <v>0</v>
      </c>
      <c r="D56" s="18">
        <v>4200</v>
      </c>
      <c r="E56" s="18">
        <v>5300</v>
      </c>
      <c r="F56" s="18">
        <v>2500</v>
      </c>
      <c r="G56" s="18">
        <v>71939</v>
      </c>
      <c r="H56" s="18">
        <v>11071</v>
      </c>
      <c r="I56" s="18">
        <v>2841</v>
      </c>
      <c r="J56" s="18">
        <v>19280</v>
      </c>
      <c r="K56" s="18">
        <v>2473</v>
      </c>
      <c r="L56" s="18">
        <v>0</v>
      </c>
      <c r="M56" s="18">
        <v>6827</v>
      </c>
      <c r="N56" s="18">
        <v>28494</v>
      </c>
      <c r="O56" s="18">
        <v>22194</v>
      </c>
      <c r="P56" s="18">
        <v>103678</v>
      </c>
      <c r="Q56" s="18">
        <v>80675</v>
      </c>
      <c r="R56" s="18">
        <v>2456</v>
      </c>
      <c r="S56" s="18">
        <v>5537</v>
      </c>
      <c r="T56" s="18">
        <v>26861</v>
      </c>
      <c r="U56" s="18">
        <f t="shared" si="3"/>
        <v>403608</v>
      </c>
      <c r="V56" s="18">
        <f t="shared" si="4"/>
        <v>403700</v>
      </c>
      <c r="W56" s="19">
        <f t="shared" si="1"/>
        <v>-92</v>
      </c>
      <c r="X56" s="16">
        <f t="shared" si="2"/>
        <v>-0.00022789199900916522</v>
      </c>
      <c r="AA56" s="3" t="s">
        <v>69</v>
      </c>
      <c r="AB56" s="17">
        <v>403700</v>
      </c>
    </row>
    <row r="57" spans="1:28" ht="12" customHeight="1">
      <c r="A57" s="13" t="s">
        <v>70</v>
      </c>
      <c r="B57" s="18">
        <v>0</v>
      </c>
      <c r="C57" s="18">
        <v>0</v>
      </c>
      <c r="D57" s="18">
        <v>0</v>
      </c>
      <c r="E57" s="18">
        <v>600</v>
      </c>
      <c r="F57" s="18">
        <v>0</v>
      </c>
      <c r="G57" s="18">
        <v>0</v>
      </c>
      <c r="H57" s="18">
        <v>700</v>
      </c>
      <c r="I57" s="18">
        <v>0</v>
      </c>
      <c r="J57" s="18">
        <v>2878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31765</v>
      </c>
      <c r="R57" s="18">
        <v>0</v>
      </c>
      <c r="S57" s="18">
        <v>0</v>
      </c>
      <c r="T57" s="18">
        <v>0</v>
      </c>
      <c r="U57" s="18">
        <f t="shared" si="3"/>
        <v>35943</v>
      </c>
      <c r="V57" s="18">
        <f t="shared" si="4"/>
        <v>20969</v>
      </c>
      <c r="W57" s="19">
        <f t="shared" si="1"/>
        <v>14974</v>
      </c>
      <c r="X57" s="16">
        <f t="shared" si="2"/>
        <v>0.7141017692784587</v>
      </c>
      <c r="AA57" s="3" t="s">
        <v>70</v>
      </c>
      <c r="AB57" s="17">
        <v>20969</v>
      </c>
    </row>
    <row r="58" spans="1:28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4714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f>5834399+259831</f>
        <v>6094230</v>
      </c>
      <c r="P58" s="18">
        <v>0</v>
      </c>
      <c r="Q58" s="18">
        <v>64800</v>
      </c>
      <c r="R58" s="18">
        <v>0</v>
      </c>
      <c r="S58" s="18">
        <v>0</v>
      </c>
      <c r="T58" s="18">
        <v>0</v>
      </c>
      <c r="U58" s="18">
        <f t="shared" si="3"/>
        <v>6163744</v>
      </c>
      <c r="V58" s="18">
        <f t="shared" si="4"/>
        <v>4043786</v>
      </c>
      <c r="W58" s="19">
        <f t="shared" si="1"/>
        <v>2119958</v>
      </c>
      <c r="X58" s="16">
        <f t="shared" si="2"/>
        <v>0.5242507887410461</v>
      </c>
      <c r="AA58" s="3" t="s">
        <v>71</v>
      </c>
      <c r="AB58" s="17">
        <v>4043786</v>
      </c>
    </row>
    <row r="59" spans="1:28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11000</v>
      </c>
      <c r="U59" s="18">
        <f t="shared" si="3"/>
        <v>11000</v>
      </c>
      <c r="V59" s="18">
        <f t="shared" si="4"/>
        <v>10864</v>
      </c>
      <c r="W59" s="19">
        <f t="shared" si="1"/>
        <v>136</v>
      </c>
      <c r="X59" s="16">
        <f t="shared" si="2"/>
        <v>0.012518409425625921</v>
      </c>
      <c r="AA59" s="3" t="s">
        <v>72</v>
      </c>
      <c r="AB59" s="17">
        <v>10864</v>
      </c>
    </row>
    <row r="60" spans="1:28" ht="12" customHeight="1">
      <c r="A60" s="13" t="s">
        <v>73</v>
      </c>
      <c r="B60" s="18">
        <v>626</v>
      </c>
      <c r="C60" s="18">
        <v>2439</v>
      </c>
      <c r="D60" s="18">
        <v>600</v>
      </c>
      <c r="E60" s="18">
        <v>7800</v>
      </c>
      <c r="F60" s="18">
        <v>2200</v>
      </c>
      <c r="G60" s="18">
        <v>3925</v>
      </c>
      <c r="H60" s="18">
        <v>2544</v>
      </c>
      <c r="I60" s="18">
        <v>36040</v>
      </c>
      <c r="J60" s="18">
        <v>3803</v>
      </c>
      <c r="K60" s="18">
        <v>6650</v>
      </c>
      <c r="L60" s="18">
        <f>61433+3567</f>
        <v>65000</v>
      </c>
      <c r="M60" s="18">
        <v>2120</v>
      </c>
      <c r="N60" s="18">
        <v>90090</v>
      </c>
      <c r="O60" s="18">
        <v>106670</v>
      </c>
      <c r="P60" s="18">
        <v>178349</v>
      </c>
      <c r="Q60" s="18">
        <v>21100</v>
      </c>
      <c r="R60" s="18">
        <v>827</v>
      </c>
      <c r="S60" s="18">
        <v>1574</v>
      </c>
      <c r="T60" s="18">
        <v>9177</v>
      </c>
      <c r="U60" s="18">
        <f t="shared" si="3"/>
        <v>541534</v>
      </c>
      <c r="V60" s="18">
        <f>VLOOKUP(A60,$AA$12:$AB$92,2,FALSE)+1810</f>
        <v>486404</v>
      </c>
      <c r="W60" s="19">
        <f t="shared" si="1"/>
        <v>55130</v>
      </c>
      <c r="X60" s="16">
        <f t="shared" si="2"/>
        <v>0.1133419955427998</v>
      </c>
      <c r="AA60" s="3" t="s">
        <v>73</v>
      </c>
      <c r="AB60" s="17">
        <v>484594</v>
      </c>
    </row>
    <row r="61" spans="1:28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2392</v>
      </c>
      <c r="L61" s="18">
        <v>0</v>
      </c>
      <c r="M61" s="18">
        <v>0</v>
      </c>
      <c r="N61" s="18">
        <v>0</v>
      </c>
      <c r="O61" s="18">
        <v>0</v>
      </c>
      <c r="P61" s="18">
        <v>89958</v>
      </c>
      <c r="Q61" s="18">
        <v>2360844</v>
      </c>
      <c r="R61" s="18">
        <v>0</v>
      </c>
      <c r="S61" s="18">
        <v>0</v>
      </c>
      <c r="T61" s="18">
        <v>57313</v>
      </c>
      <c r="U61" s="18">
        <f t="shared" si="3"/>
        <v>2510507</v>
      </c>
      <c r="V61" s="18">
        <f t="shared" si="4"/>
        <v>2421455</v>
      </c>
      <c r="W61" s="19">
        <f t="shared" si="1"/>
        <v>89052</v>
      </c>
      <c r="X61" s="16">
        <f t="shared" si="2"/>
        <v>0.03677623577559773</v>
      </c>
      <c r="AA61" s="3" t="s">
        <v>74</v>
      </c>
      <c r="AB61" s="17">
        <v>2421455</v>
      </c>
    </row>
    <row r="62" spans="1:28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1086466</v>
      </c>
      <c r="R62" s="18">
        <v>0</v>
      </c>
      <c r="S62" s="18">
        <v>0</v>
      </c>
      <c r="T62" s="18">
        <v>0</v>
      </c>
      <c r="U62" s="18">
        <f t="shared" si="3"/>
        <v>1086466</v>
      </c>
      <c r="V62" s="18">
        <f t="shared" si="4"/>
        <v>1010198</v>
      </c>
      <c r="W62" s="19">
        <f t="shared" si="1"/>
        <v>76268</v>
      </c>
      <c r="X62" s="16">
        <f t="shared" si="2"/>
        <v>0.07549807067525376</v>
      </c>
      <c r="AA62" s="3" t="s">
        <v>75</v>
      </c>
      <c r="AB62" s="17">
        <v>1010198</v>
      </c>
    </row>
    <row r="63" spans="1:28" ht="12" customHeight="1">
      <c r="A63" s="13" t="s">
        <v>76</v>
      </c>
      <c r="B63" s="18">
        <v>201</v>
      </c>
      <c r="C63" s="18">
        <v>1050</v>
      </c>
      <c r="D63" s="18">
        <v>330</v>
      </c>
      <c r="E63" s="18">
        <v>481</v>
      </c>
      <c r="F63" s="18">
        <v>170</v>
      </c>
      <c r="G63" s="18">
        <v>583</v>
      </c>
      <c r="H63" s="18">
        <v>154</v>
      </c>
      <c r="I63" s="18">
        <v>424</v>
      </c>
      <c r="J63" s="18">
        <v>126</v>
      </c>
      <c r="K63" s="18">
        <v>297</v>
      </c>
      <c r="L63" s="18">
        <v>0</v>
      </c>
      <c r="M63" s="18">
        <v>81</v>
      </c>
      <c r="N63" s="18">
        <v>580</v>
      </c>
      <c r="O63" s="18">
        <v>508</v>
      </c>
      <c r="P63" s="18">
        <v>0</v>
      </c>
      <c r="Q63" s="18">
        <v>300</v>
      </c>
      <c r="R63" s="18">
        <v>166</v>
      </c>
      <c r="S63" s="18">
        <v>404</v>
      </c>
      <c r="T63" s="18">
        <v>266</v>
      </c>
      <c r="U63" s="18">
        <f t="shared" si="3"/>
        <v>6121</v>
      </c>
      <c r="V63" s="18">
        <f t="shared" si="4"/>
        <v>7804</v>
      </c>
      <c r="W63" s="19">
        <f t="shared" si="1"/>
        <v>-1683</v>
      </c>
      <c r="X63" s="16">
        <f t="shared" si="2"/>
        <v>-0.21565863659661713</v>
      </c>
      <c r="AA63" s="3" t="s">
        <v>76</v>
      </c>
      <c r="AB63" s="17">
        <v>7804</v>
      </c>
    </row>
    <row r="64" spans="1:28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1939500</v>
      </c>
      <c r="Q64" s="18">
        <v>0</v>
      </c>
      <c r="R64" s="18">
        <v>0</v>
      </c>
      <c r="S64" s="18">
        <v>0</v>
      </c>
      <c r="T64" s="18">
        <v>0</v>
      </c>
      <c r="U64" s="18">
        <f t="shared" si="3"/>
        <v>1939500</v>
      </c>
      <c r="V64" s="18">
        <f t="shared" si="4"/>
        <v>1808500</v>
      </c>
      <c r="W64" s="19">
        <f t="shared" si="1"/>
        <v>131000</v>
      </c>
      <c r="X64" s="16">
        <f t="shared" si="2"/>
        <v>0.07243572021011889</v>
      </c>
      <c r="AA64" s="3" t="s">
        <v>77</v>
      </c>
      <c r="AB64" s="17">
        <v>1808500</v>
      </c>
    </row>
    <row r="65" spans="1:28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1175507</v>
      </c>
      <c r="R65" s="18">
        <v>0</v>
      </c>
      <c r="S65" s="18">
        <v>0</v>
      </c>
      <c r="T65" s="18">
        <v>0</v>
      </c>
      <c r="U65" s="18">
        <f t="shared" si="3"/>
        <v>1175507</v>
      </c>
      <c r="V65" s="18">
        <f t="shared" si="4"/>
        <v>1274902</v>
      </c>
      <c r="W65" s="19">
        <f t="shared" si="1"/>
        <v>-99395</v>
      </c>
      <c r="X65" s="16">
        <f t="shared" si="2"/>
        <v>-0.07796285518416317</v>
      </c>
      <c r="AA65" s="3" t="s">
        <v>78</v>
      </c>
      <c r="AB65" s="17">
        <v>1274902</v>
      </c>
    </row>
    <row r="66" spans="1:28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593000</v>
      </c>
      <c r="R66" s="18">
        <v>0</v>
      </c>
      <c r="S66" s="18">
        <v>0</v>
      </c>
      <c r="T66" s="18">
        <v>0</v>
      </c>
      <c r="U66" s="18">
        <f t="shared" si="3"/>
        <v>593000</v>
      </c>
      <c r="V66" s="18">
        <f t="shared" si="4"/>
        <v>592864</v>
      </c>
      <c r="W66" s="19">
        <f t="shared" si="1"/>
        <v>136</v>
      </c>
      <c r="X66" s="16">
        <f t="shared" si="2"/>
        <v>0.00022939493711879959</v>
      </c>
      <c r="AA66" s="3" t="s">
        <v>79</v>
      </c>
      <c r="AB66" s="17">
        <v>592864</v>
      </c>
    </row>
    <row r="67" spans="1:28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70600</v>
      </c>
      <c r="R67" s="18">
        <v>0</v>
      </c>
      <c r="S67" s="18">
        <v>0</v>
      </c>
      <c r="T67" s="18">
        <v>0</v>
      </c>
      <c r="U67" s="18">
        <f t="shared" si="3"/>
        <v>70600</v>
      </c>
      <c r="V67" s="18">
        <f t="shared" si="4"/>
        <v>70560</v>
      </c>
      <c r="W67" s="19">
        <f t="shared" si="1"/>
        <v>40</v>
      </c>
      <c r="X67" s="16">
        <f t="shared" si="2"/>
        <v>0.0005668934240362812</v>
      </c>
      <c r="AA67" s="3" t="s">
        <v>80</v>
      </c>
      <c r="AB67" s="17">
        <v>70560</v>
      </c>
    </row>
    <row r="68" spans="1:28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2100000</v>
      </c>
      <c r="R68" s="18">
        <v>0</v>
      </c>
      <c r="S68" s="18">
        <v>0</v>
      </c>
      <c r="T68" s="18">
        <v>0</v>
      </c>
      <c r="U68" s="18">
        <f t="shared" si="3"/>
        <v>2100000</v>
      </c>
      <c r="V68" s="18">
        <f t="shared" si="4"/>
        <v>2092577</v>
      </c>
      <c r="W68" s="19">
        <f t="shared" si="1"/>
        <v>7423</v>
      </c>
      <c r="X68" s="16">
        <f t="shared" si="2"/>
        <v>0.0035473007683827166</v>
      </c>
      <c r="AA68" s="3" t="s">
        <v>81</v>
      </c>
      <c r="AB68" s="17">
        <v>2092577</v>
      </c>
    </row>
    <row r="69" spans="1:28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1378</v>
      </c>
      <c r="I69" s="18">
        <v>0</v>
      </c>
      <c r="J69" s="18">
        <v>2000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f t="shared" si="3"/>
        <v>3378</v>
      </c>
      <c r="V69" s="18">
        <f t="shared" si="4"/>
        <v>2682</v>
      </c>
      <c r="W69" s="19">
        <f t="shared" si="1"/>
        <v>696</v>
      </c>
      <c r="X69" s="16">
        <f t="shared" si="2"/>
        <v>0.2595078299776286</v>
      </c>
      <c r="AA69" s="3" t="s">
        <v>82</v>
      </c>
      <c r="AB69" s="17">
        <v>2682</v>
      </c>
    </row>
    <row r="70" spans="1:28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>8921481+649618</f>
        <v>9571099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f t="shared" si="3"/>
        <v>9571099</v>
      </c>
      <c r="V70" s="18">
        <f t="shared" si="4"/>
        <v>10000000</v>
      </c>
      <c r="W70" s="19">
        <f t="shared" si="1"/>
        <v>-428901</v>
      </c>
      <c r="X70" s="16">
        <f t="shared" si="2"/>
        <v>-0.0428901</v>
      </c>
      <c r="AA70" s="3" t="s">
        <v>83</v>
      </c>
      <c r="AB70" s="17">
        <v>10000000</v>
      </c>
    </row>
    <row r="71" spans="1:28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216634</v>
      </c>
      <c r="R71" s="18">
        <v>0</v>
      </c>
      <c r="S71" s="18">
        <v>0</v>
      </c>
      <c r="T71" s="18">
        <v>124815</v>
      </c>
      <c r="U71" s="18">
        <f t="shared" si="3"/>
        <v>341449</v>
      </c>
      <c r="V71" s="18">
        <f t="shared" si="4"/>
        <v>102873</v>
      </c>
      <c r="W71" s="19">
        <f t="shared" si="1"/>
        <v>238576</v>
      </c>
      <c r="X71" s="16">
        <f t="shared" si="2"/>
        <v>2.319131356138151</v>
      </c>
      <c r="AA71" s="3" t="s">
        <v>84</v>
      </c>
      <c r="AB71" s="17">
        <v>102873</v>
      </c>
    </row>
    <row r="72" spans="1:28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701500</v>
      </c>
      <c r="R72" s="18">
        <v>0</v>
      </c>
      <c r="S72" s="18">
        <v>0</v>
      </c>
      <c r="T72" s="18">
        <v>0</v>
      </c>
      <c r="U72" s="18">
        <f t="shared" si="3"/>
        <v>701500</v>
      </c>
      <c r="V72" s="18">
        <f t="shared" si="4"/>
        <v>214700</v>
      </c>
      <c r="W72" s="19">
        <f t="shared" si="1"/>
        <v>486800</v>
      </c>
      <c r="X72" s="16">
        <f t="shared" si="2"/>
        <v>2.2673497904052167</v>
      </c>
      <c r="AA72" s="3" t="s">
        <v>85</v>
      </c>
      <c r="AB72" s="17">
        <v>214700</v>
      </c>
    </row>
    <row r="73" spans="1:28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1974500</v>
      </c>
      <c r="R73" s="18">
        <v>0</v>
      </c>
      <c r="S73" s="18">
        <v>0</v>
      </c>
      <c r="T73" s="18">
        <v>0</v>
      </c>
      <c r="U73" s="18">
        <f t="shared" si="3"/>
        <v>1974500</v>
      </c>
      <c r="V73" s="18">
        <f t="shared" si="4"/>
        <v>1866300</v>
      </c>
      <c r="W73" s="19">
        <f t="shared" si="1"/>
        <v>108200</v>
      </c>
      <c r="X73" s="16">
        <f t="shared" si="2"/>
        <v>0.05797567379306649</v>
      </c>
      <c r="AA73" s="3" t="s">
        <v>86</v>
      </c>
      <c r="AB73" s="17">
        <v>1866300</v>
      </c>
    </row>
    <row r="74" spans="1:28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>16315500+125000</f>
        <v>16440500</v>
      </c>
      <c r="Q74" s="18">
        <v>0</v>
      </c>
      <c r="R74" s="18">
        <v>0</v>
      </c>
      <c r="S74" s="18">
        <v>0</v>
      </c>
      <c r="T74" s="18">
        <v>175000</v>
      </c>
      <c r="U74" s="18">
        <f t="shared" si="3"/>
        <v>16615500</v>
      </c>
      <c r="V74" s="18">
        <f>VLOOKUP(A74,$AA$12:$AB$92,2,FALSE)+125000</f>
        <v>9314600</v>
      </c>
      <c r="W74" s="19">
        <f t="shared" si="1"/>
        <v>7300900</v>
      </c>
      <c r="X74" s="16">
        <f t="shared" si="2"/>
        <v>0.7838125093938548</v>
      </c>
      <c r="AA74" s="3" t="s">
        <v>87</v>
      </c>
      <c r="AB74" s="17">
        <v>9189600</v>
      </c>
    </row>
    <row r="75" spans="1:28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5000</v>
      </c>
      <c r="N75" s="18">
        <v>0</v>
      </c>
      <c r="O75" s="18">
        <v>0</v>
      </c>
      <c r="P75" s="18">
        <f>25041028+3165363</f>
        <v>28206391</v>
      </c>
      <c r="Q75" s="18">
        <v>0</v>
      </c>
      <c r="R75" s="18">
        <v>0</v>
      </c>
      <c r="S75" s="18">
        <v>0</v>
      </c>
      <c r="T75" s="18">
        <v>0</v>
      </c>
      <c r="U75" s="18">
        <f t="shared" si="3"/>
        <v>28211391</v>
      </c>
      <c r="V75" s="18">
        <f>VLOOKUP(A75,$AA$12:$AB$92,2,FALSE)+2300000</f>
        <v>19698561</v>
      </c>
      <c r="W75" s="19">
        <f t="shared" si="1"/>
        <v>8512830</v>
      </c>
      <c r="X75" s="16">
        <f t="shared" si="2"/>
        <v>0.4321549173058885</v>
      </c>
      <c r="AA75" s="3" t="s">
        <v>88</v>
      </c>
      <c r="AB75" s="17">
        <v>17398561</v>
      </c>
    </row>
    <row r="76" spans="1:28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1696</v>
      </c>
      <c r="L76" s="18">
        <v>0</v>
      </c>
      <c r="M76" s="18">
        <v>0</v>
      </c>
      <c r="N76" s="18">
        <v>4785</v>
      </c>
      <c r="O76" s="18">
        <v>11068</v>
      </c>
      <c r="P76" s="18">
        <v>0</v>
      </c>
      <c r="Q76" s="18">
        <v>182700</v>
      </c>
      <c r="R76" s="18">
        <v>0</v>
      </c>
      <c r="S76" s="18">
        <v>0</v>
      </c>
      <c r="T76" s="18">
        <v>72138</v>
      </c>
      <c r="U76" s="18">
        <f t="shared" si="3"/>
        <v>272387</v>
      </c>
      <c r="V76" s="18">
        <f t="shared" si="4"/>
        <v>240269</v>
      </c>
      <c r="W76" s="19">
        <f t="shared" si="1"/>
        <v>32118</v>
      </c>
      <c r="X76" s="16">
        <f t="shared" si="2"/>
        <v>0.13367517241092275</v>
      </c>
      <c r="AA76" s="3" t="s">
        <v>89</v>
      </c>
      <c r="AB76" s="17">
        <v>240269</v>
      </c>
    </row>
    <row r="77" spans="1:28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8307000</v>
      </c>
      <c r="R77" s="18">
        <v>0</v>
      </c>
      <c r="S77" s="18">
        <v>0</v>
      </c>
      <c r="T77" s="18">
        <v>0</v>
      </c>
      <c r="U77" s="18">
        <f t="shared" si="3"/>
        <v>8307000</v>
      </c>
      <c r="V77" s="18">
        <f t="shared" si="4"/>
        <v>7632000</v>
      </c>
      <c r="W77" s="19">
        <f aca="true" t="shared" si="5" ref="W77:W90">U77-V77</f>
        <v>675000</v>
      </c>
      <c r="X77" s="16">
        <f aca="true" t="shared" si="6" ref="X77:X90">IF(V77=0,100%,W77/V77)</f>
        <v>0.08844339622641509</v>
      </c>
      <c r="AA77" s="3" t="s">
        <v>90</v>
      </c>
      <c r="AB77" s="17">
        <v>7632000</v>
      </c>
    </row>
    <row r="78" spans="1:28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5790000</v>
      </c>
      <c r="Q78" s="18">
        <v>28390000</v>
      </c>
      <c r="R78" s="18">
        <v>0</v>
      </c>
      <c r="S78" s="18">
        <v>0</v>
      </c>
      <c r="T78" s="18">
        <v>1850000</v>
      </c>
      <c r="U78" s="18">
        <f aca="true" t="shared" si="7" ref="U78:U91">SUM(B78:T78)</f>
        <v>36030000</v>
      </c>
      <c r="V78" s="18">
        <f t="shared" si="4"/>
        <v>31465000</v>
      </c>
      <c r="W78" s="19">
        <f t="shared" si="5"/>
        <v>4565000</v>
      </c>
      <c r="X78" s="16">
        <f t="shared" si="6"/>
        <v>0.1450818369617035</v>
      </c>
      <c r="AA78" s="3" t="s">
        <v>91</v>
      </c>
      <c r="AB78" s="17">
        <v>31465000</v>
      </c>
    </row>
    <row r="79" spans="1:28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2980000</v>
      </c>
      <c r="Q79" s="18">
        <v>0</v>
      </c>
      <c r="R79" s="18">
        <v>0</v>
      </c>
      <c r="S79" s="18">
        <v>0</v>
      </c>
      <c r="T79" s="18">
        <v>1500000</v>
      </c>
      <c r="U79" s="18">
        <f t="shared" si="7"/>
        <v>4480000</v>
      </c>
      <c r="V79" s="18">
        <f t="shared" si="4"/>
        <v>710000</v>
      </c>
      <c r="W79" s="19">
        <f t="shared" si="5"/>
        <v>3770000</v>
      </c>
      <c r="X79" s="16">
        <f t="shared" si="6"/>
        <v>5.309859154929577</v>
      </c>
      <c r="AA79" s="3" t="s">
        <v>92</v>
      </c>
      <c r="AB79" s="17">
        <v>710000</v>
      </c>
    </row>
    <row r="80" spans="1:28" ht="12" customHeight="1">
      <c r="A80" s="13" t="s">
        <v>93</v>
      </c>
      <c r="B80" s="18">
        <v>0</v>
      </c>
      <c r="C80" s="18">
        <v>0</v>
      </c>
      <c r="D80" s="18">
        <v>70000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f>768686+50170</f>
        <v>818856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f t="shared" si="7"/>
        <v>888856</v>
      </c>
      <c r="V80" s="18">
        <f t="shared" si="4"/>
        <v>857301</v>
      </c>
      <c r="W80" s="19">
        <f t="shared" si="5"/>
        <v>31555</v>
      </c>
      <c r="X80" s="16">
        <f t="shared" si="6"/>
        <v>0.03680737570584894</v>
      </c>
      <c r="AA80" s="3" t="s">
        <v>93</v>
      </c>
      <c r="AB80" s="17">
        <v>857301</v>
      </c>
    </row>
    <row r="81" spans="1:28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f>14696169+854172</f>
        <v>15550341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f t="shared" si="7"/>
        <v>15550341</v>
      </c>
      <c r="V81" s="18">
        <f t="shared" si="4"/>
        <v>13321925</v>
      </c>
      <c r="W81" s="19">
        <f t="shared" si="5"/>
        <v>2228416</v>
      </c>
      <c r="X81" s="16">
        <f t="shared" si="6"/>
        <v>0.16727432409355256</v>
      </c>
      <c r="AA81" s="3" t="s">
        <v>94</v>
      </c>
      <c r="AB81" s="17">
        <v>13321925</v>
      </c>
    </row>
    <row r="82" spans="1:28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970000</v>
      </c>
      <c r="T82" s="18">
        <v>0</v>
      </c>
      <c r="U82" s="18">
        <f t="shared" si="7"/>
        <v>970000</v>
      </c>
      <c r="V82" s="18">
        <f t="shared" si="4"/>
        <v>551000</v>
      </c>
      <c r="W82" s="19">
        <f t="shared" si="5"/>
        <v>419000</v>
      </c>
      <c r="X82" s="16">
        <f t="shared" si="6"/>
        <v>0.7604355716878403</v>
      </c>
      <c r="AA82" s="3" t="s">
        <v>96</v>
      </c>
      <c r="AB82" s="17">
        <v>0</v>
      </c>
    </row>
    <row r="83" spans="1:28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2000000</v>
      </c>
      <c r="T83" s="18">
        <v>0</v>
      </c>
      <c r="U83" s="18">
        <f t="shared" si="7"/>
        <v>2000000</v>
      </c>
      <c r="V83" s="18">
        <f t="shared" si="4"/>
        <v>1101000</v>
      </c>
      <c r="W83" s="19">
        <f t="shared" si="5"/>
        <v>899000</v>
      </c>
      <c r="X83" s="16">
        <f t="shared" si="6"/>
        <v>0.8165304268846503</v>
      </c>
      <c r="AA83" s="3" t="s">
        <v>95</v>
      </c>
      <c r="AB83" s="17">
        <v>551000</v>
      </c>
    </row>
    <row r="84" spans="1:28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3578000</v>
      </c>
      <c r="T84" s="18">
        <v>0</v>
      </c>
      <c r="U84" s="18">
        <f t="shared" si="7"/>
        <v>3578000</v>
      </c>
      <c r="V84" s="18">
        <f>VLOOKUP(A84,$AA$12:$AB$92,2,FALSE)</f>
        <v>3731000</v>
      </c>
      <c r="W84" s="19">
        <f t="shared" si="5"/>
        <v>-153000</v>
      </c>
      <c r="X84" s="16">
        <f t="shared" si="6"/>
        <v>-0.04100777271508979</v>
      </c>
      <c r="AA84" s="3" t="s">
        <v>97</v>
      </c>
      <c r="AB84" s="17">
        <v>1101000</v>
      </c>
    </row>
    <row r="85" spans="1:28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1600000</v>
      </c>
      <c r="T85" s="18">
        <v>0</v>
      </c>
      <c r="U85" s="18">
        <f t="shared" si="7"/>
        <v>1600000</v>
      </c>
      <c r="V85" s="18">
        <f t="shared" si="4"/>
        <v>130000</v>
      </c>
      <c r="W85" s="19">
        <f t="shared" si="5"/>
        <v>1470000</v>
      </c>
      <c r="X85" s="16">
        <f t="shared" si="6"/>
        <v>11.307692307692308</v>
      </c>
      <c r="AA85" s="3" t="s">
        <v>98</v>
      </c>
      <c r="AB85" s="17">
        <v>3731000</v>
      </c>
    </row>
    <row r="86" spans="1:28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4883000</v>
      </c>
      <c r="T86" s="18">
        <v>0</v>
      </c>
      <c r="U86" s="18">
        <f t="shared" si="7"/>
        <v>4883000</v>
      </c>
      <c r="V86" s="18">
        <f t="shared" si="4"/>
        <v>6743500</v>
      </c>
      <c r="W86" s="19">
        <f t="shared" si="5"/>
        <v>-1860500</v>
      </c>
      <c r="X86" s="16">
        <f t="shared" si="6"/>
        <v>-0.2758953065915326</v>
      </c>
      <c r="AA86" s="3" t="s">
        <v>99</v>
      </c>
      <c r="AB86" s="17">
        <v>130000</v>
      </c>
    </row>
    <row r="87" spans="1:28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89110000</v>
      </c>
      <c r="T87" s="18">
        <v>0</v>
      </c>
      <c r="U87" s="18">
        <f t="shared" si="7"/>
        <v>89110000</v>
      </c>
      <c r="V87" s="18">
        <f t="shared" si="4"/>
        <v>92225800</v>
      </c>
      <c r="W87" s="19">
        <f t="shared" si="5"/>
        <v>-3115800</v>
      </c>
      <c r="X87" s="16">
        <f t="shared" si="6"/>
        <v>-0.03378447245781549</v>
      </c>
      <c r="AA87" s="3" t="s">
        <v>100</v>
      </c>
      <c r="AB87" s="17">
        <v>6743500</v>
      </c>
    </row>
    <row r="88" spans="1:28" ht="12" customHeight="1">
      <c r="A88" s="13" t="s">
        <v>102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f t="shared" si="7"/>
        <v>0</v>
      </c>
      <c r="V88" s="18">
        <f t="shared" si="4"/>
        <v>3000000</v>
      </c>
      <c r="W88" s="19">
        <f t="shared" si="5"/>
        <v>-3000000</v>
      </c>
      <c r="X88" s="16">
        <f t="shared" si="6"/>
        <v>-1</v>
      </c>
      <c r="AB88" s="17"/>
    </row>
    <row r="89" spans="1:28" ht="12" customHeight="1">
      <c r="A89" s="13" t="s">
        <v>103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3155000</v>
      </c>
      <c r="T89" s="18">
        <v>0</v>
      </c>
      <c r="U89" s="18">
        <f t="shared" si="7"/>
        <v>3155000</v>
      </c>
      <c r="V89" s="18">
        <f t="shared" si="4"/>
        <v>2800000</v>
      </c>
      <c r="W89" s="19">
        <f t="shared" si="5"/>
        <v>355000</v>
      </c>
      <c r="X89" s="16">
        <f t="shared" si="6"/>
        <v>0.12678571428571428</v>
      </c>
      <c r="AA89" s="3" t="s">
        <v>101</v>
      </c>
      <c r="AB89" s="17">
        <v>92225800</v>
      </c>
    </row>
    <row r="90" spans="1:28" ht="12" customHeight="1" thickBot="1">
      <c r="A90" s="13" t="s">
        <v>104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5370000</v>
      </c>
      <c r="T90" s="18">
        <v>0</v>
      </c>
      <c r="U90" s="18">
        <f t="shared" si="7"/>
        <v>5370000</v>
      </c>
      <c r="V90" s="18">
        <f t="shared" si="4"/>
        <v>12710000</v>
      </c>
      <c r="W90" s="19">
        <f t="shared" si="5"/>
        <v>-7340000</v>
      </c>
      <c r="X90" s="16">
        <f t="shared" si="6"/>
        <v>-0.5774980330448466</v>
      </c>
      <c r="AA90" s="3" t="s">
        <v>102</v>
      </c>
      <c r="AB90" s="17">
        <v>3000000</v>
      </c>
    </row>
    <row r="91" spans="1:28" ht="12" customHeight="1" hidden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>
        <f t="shared" si="7"/>
        <v>0</v>
      </c>
      <c r="V91" s="22"/>
      <c r="W91" s="22"/>
      <c r="X91" s="16"/>
      <c r="AA91" s="3" t="s">
        <v>103</v>
      </c>
      <c r="AB91" s="17">
        <v>2800000</v>
      </c>
    </row>
    <row r="92" spans="1:28" ht="12" customHeight="1" thickBot="1">
      <c r="A92" s="23" t="s">
        <v>105</v>
      </c>
      <c r="B92" s="24">
        <f aca="true" t="shared" si="8" ref="B92:T92">SUM(B12:B90)</f>
        <v>562796</v>
      </c>
      <c r="C92" s="24">
        <f t="shared" si="8"/>
        <v>137715</v>
      </c>
      <c r="D92" s="24">
        <f t="shared" si="8"/>
        <v>5236584</v>
      </c>
      <c r="E92" s="24">
        <f t="shared" si="8"/>
        <v>1559988</v>
      </c>
      <c r="F92" s="24">
        <f t="shared" si="8"/>
        <v>2527176</v>
      </c>
      <c r="G92" s="24">
        <f t="shared" si="8"/>
        <v>1421978</v>
      </c>
      <c r="H92" s="24">
        <f t="shared" si="8"/>
        <v>1042774</v>
      </c>
      <c r="I92" s="24">
        <f t="shared" si="8"/>
        <v>5484977</v>
      </c>
      <c r="J92" s="24">
        <f t="shared" si="8"/>
        <v>1383270</v>
      </c>
      <c r="K92" s="24">
        <f t="shared" si="8"/>
        <v>4067235</v>
      </c>
      <c r="L92" s="24">
        <f t="shared" si="8"/>
        <v>12329432</v>
      </c>
      <c r="M92" s="24">
        <f t="shared" si="8"/>
        <v>722418</v>
      </c>
      <c r="N92" s="24">
        <f t="shared" si="8"/>
        <v>13401713</v>
      </c>
      <c r="O92" s="24">
        <f t="shared" si="8"/>
        <v>50075267</v>
      </c>
      <c r="P92" s="24">
        <f t="shared" si="8"/>
        <v>85188146</v>
      </c>
      <c r="Q92" s="24">
        <f t="shared" si="8"/>
        <v>84538213</v>
      </c>
      <c r="R92" s="24">
        <f t="shared" si="8"/>
        <v>1604771</v>
      </c>
      <c r="S92" s="24">
        <f t="shared" si="8"/>
        <v>112077373</v>
      </c>
      <c r="T92" s="24">
        <f t="shared" si="8"/>
        <v>16209201</v>
      </c>
      <c r="U92" s="24">
        <f>SUM(U12:U90)-1</f>
        <v>399571026</v>
      </c>
      <c r="V92" s="24">
        <f>SUM(V12:V91)+3</f>
        <v>362194436</v>
      </c>
      <c r="W92" s="24">
        <f>U92-V92</f>
        <v>37376590</v>
      </c>
      <c r="X92" s="25">
        <f>IF(V92=0,100%,W92/V92)</f>
        <v>0.10319482102701323</v>
      </c>
      <c r="AA92" s="3" t="s">
        <v>104</v>
      </c>
      <c r="AB92" s="17">
        <v>12710000</v>
      </c>
    </row>
    <row r="93" spans="1:28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AB93" s="17">
        <f>SUM(AB12:AB92)</f>
        <v>357549039</v>
      </c>
    </row>
    <row r="94" spans="1:28" s="28" customFormat="1" ht="12.75" hidden="1">
      <c r="A94" s="28" t="s">
        <v>0</v>
      </c>
      <c r="B94" s="28" t="s">
        <v>1</v>
      </c>
      <c r="C94" s="28" t="s">
        <v>2</v>
      </c>
      <c r="D94" s="28" t="s">
        <v>3</v>
      </c>
      <c r="E94" s="28" t="s">
        <v>4</v>
      </c>
      <c r="F94" s="28" t="s">
        <v>5</v>
      </c>
      <c r="G94" s="28" t="s">
        <v>6</v>
      </c>
      <c r="H94" s="28" t="s">
        <v>7</v>
      </c>
      <c r="I94" s="28" t="s">
        <v>8</v>
      </c>
      <c r="J94" s="28" t="s">
        <v>9</v>
      </c>
      <c r="K94" s="28" t="s">
        <v>10</v>
      </c>
      <c r="L94" s="28" t="s">
        <v>11</v>
      </c>
      <c r="M94" s="28" t="s">
        <v>12</v>
      </c>
      <c r="N94" s="28" t="s">
        <v>13</v>
      </c>
      <c r="O94" s="28" t="s">
        <v>14</v>
      </c>
      <c r="P94" s="28" t="s">
        <v>15</v>
      </c>
      <c r="Q94" s="28" t="s">
        <v>16</v>
      </c>
      <c r="R94" s="28" t="s">
        <v>17</v>
      </c>
      <c r="S94" s="28" t="s">
        <v>18</v>
      </c>
      <c r="T94" s="28" t="s">
        <v>19</v>
      </c>
      <c r="U94" s="29" t="s">
        <v>20</v>
      </c>
      <c r="V94" s="29" t="s">
        <v>21</v>
      </c>
      <c r="W94" s="28" t="s">
        <v>22</v>
      </c>
      <c r="X94" s="28" t="s">
        <v>23</v>
      </c>
      <c r="AB94" s="30">
        <f>AB93-V92</f>
        <v>-4645397</v>
      </c>
    </row>
    <row r="95" ht="12.75" hidden="1"/>
    <row r="96" spans="1:24" ht="12.75" hidden="1">
      <c r="A96" s="3" t="s">
        <v>24</v>
      </c>
      <c r="B96" s="3">
        <v>316095</v>
      </c>
      <c r="C96" s="3">
        <v>67570</v>
      </c>
      <c r="D96" s="3">
        <v>232565</v>
      </c>
      <c r="E96" s="3">
        <v>1296098</v>
      </c>
      <c r="F96" s="3">
        <v>410130</v>
      </c>
      <c r="G96" s="3">
        <v>772263</v>
      </c>
      <c r="H96" s="3">
        <v>622608</v>
      </c>
      <c r="I96" s="3">
        <v>572651</v>
      </c>
      <c r="J96" s="3">
        <v>931321</v>
      </c>
      <c r="K96" s="3">
        <v>1211587</v>
      </c>
      <c r="L96" s="3">
        <v>0</v>
      </c>
      <c r="M96" s="3">
        <v>392012</v>
      </c>
      <c r="N96" s="3">
        <v>4285032</v>
      </c>
      <c r="O96" s="3">
        <v>6614676</v>
      </c>
      <c r="P96" s="3">
        <v>6209962</v>
      </c>
      <c r="Q96" s="3">
        <v>8013123</v>
      </c>
      <c r="R96" s="3">
        <v>476701</v>
      </c>
      <c r="S96" s="3">
        <v>1213162</v>
      </c>
      <c r="T96" s="3">
        <v>3994487</v>
      </c>
      <c r="U96" s="3">
        <v>37632042</v>
      </c>
      <c r="V96" s="3">
        <v>32804787</v>
      </c>
      <c r="W96" s="3">
        <v>4827255</v>
      </c>
      <c r="X96" s="3">
        <v>14.7</v>
      </c>
    </row>
    <row r="97" spans="1:24" ht="12.75" hidden="1">
      <c r="A97" s="3" t="s">
        <v>25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1137601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1137601</v>
      </c>
      <c r="V97" s="3">
        <v>779957</v>
      </c>
      <c r="W97" s="3">
        <v>357644</v>
      </c>
      <c r="X97" s="3">
        <v>45.9</v>
      </c>
    </row>
    <row r="98" spans="1:24" ht="12.75" hidden="1">
      <c r="A98" s="3" t="s">
        <v>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32439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63000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95439</v>
      </c>
      <c r="V98" s="3">
        <v>23917</v>
      </c>
      <c r="W98" s="3">
        <v>71522</v>
      </c>
      <c r="X98" s="3">
        <v>299</v>
      </c>
    </row>
    <row r="99" spans="1:24" ht="12.75" hidden="1">
      <c r="A99" s="3" t="s">
        <v>27</v>
      </c>
      <c r="B99" s="3">
        <v>0</v>
      </c>
      <c r="C99" s="3">
        <v>0</v>
      </c>
      <c r="D99" s="3">
        <v>0</v>
      </c>
      <c r="E99" s="3">
        <v>700</v>
      </c>
      <c r="F99" s="3">
        <v>0</v>
      </c>
      <c r="G99" s="3">
        <v>2047</v>
      </c>
      <c r="H99" s="3">
        <v>0</v>
      </c>
      <c r="I99" s="3">
        <v>0</v>
      </c>
      <c r="J99" s="3">
        <v>1984</v>
      </c>
      <c r="K99" s="3">
        <v>2714</v>
      </c>
      <c r="L99" s="3">
        <v>0</v>
      </c>
      <c r="M99" s="3">
        <v>0</v>
      </c>
      <c r="N99" s="3">
        <v>57906</v>
      </c>
      <c r="O99" s="3">
        <v>138899</v>
      </c>
      <c r="P99" s="3">
        <v>90000</v>
      </c>
      <c r="Q99" s="3">
        <v>340000</v>
      </c>
      <c r="R99" s="3">
        <v>0</v>
      </c>
      <c r="S99" s="3">
        <v>0</v>
      </c>
      <c r="T99" s="3">
        <v>23421</v>
      </c>
      <c r="U99" s="3">
        <v>657671</v>
      </c>
      <c r="V99" s="3">
        <v>611286</v>
      </c>
      <c r="W99" s="3">
        <v>46385</v>
      </c>
      <c r="X99" s="3">
        <v>7.6</v>
      </c>
    </row>
    <row r="100" spans="1:24" ht="12.75" hidden="1">
      <c r="A100" s="3" t="s">
        <v>28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9326145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9326145</v>
      </c>
      <c r="V100" s="3">
        <v>6022538</v>
      </c>
      <c r="W100" s="3">
        <v>3303607</v>
      </c>
      <c r="X100" s="3">
        <v>54.9</v>
      </c>
    </row>
    <row r="101" spans="1:24" ht="12.75" hidden="1">
      <c r="A101" s="3" t="s">
        <v>29</v>
      </c>
      <c r="B101" s="3">
        <v>33023</v>
      </c>
      <c r="C101" s="3">
        <v>8419</v>
      </c>
      <c r="D101" s="3">
        <v>28467</v>
      </c>
      <c r="E101" s="3">
        <v>160840</v>
      </c>
      <c r="F101" s="3">
        <v>51441</v>
      </c>
      <c r="G101" s="3">
        <v>100194</v>
      </c>
      <c r="H101" s="3">
        <v>77324</v>
      </c>
      <c r="I101" s="3">
        <v>73461</v>
      </c>
      <c r="J101" s="3">
        <v>116059</v>
      </c>
      <c r="K101" s="3">
        <v>154513</v>
      </c>
      <c r="L101" s="3">
        <v>0</v>
      </c>
      <c r="M101" s="3">
        <v>49442</v>
      </c>
      <c r="N101" s="3">
        <v>544466</v>
      </c>
      <c r="O101" s="3">
        <v>832126</v>
      </c>
      <c r="P101" s="3">
        <v>777107</v>
      </c>
      <c r="Q101" s="3">
        <v>1007889</v>
      </c>
      <c r="R101" s="3">
        <v>58984</v>
      </c>
      <c r="S101" s="3">
        <v>147084</v>
      </c>
      <c r="T101" s="3">
        <v>491628</v>
      </c>
      <c r="U101" s="3">
        <v>4712467</v>
      </c>
      <c r="V101" s="3">
        <v>4350000</v>
      </c>
      <c r="W101" s="3">
        <v>362467</v>
      </c>
      <c r="X101" s="3">
        <v>8.3</v>
      </c>
    </row>
    <row r="102" spans="1:24" ht="12.75" hidden="1">
      <c r="A102" s="3" t="s">
        <v>30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4056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8102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12158</v>
      </c>
      <c r="V102" s="3">
        <v>3167</v>
      </c>
      <c r="W102" s="3">
        <v>8991</v>
      </c>
      <c r="X102" s="3">
        <v>283.9</v>
      </c>
    </row>
    <row r="103" spans="1:24" ht="12.75" hidden="1">
      <c r="A103" s="3" t="s">
        <v>31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143090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143090</v>
      </c>
      <c r="V103" s="3">
        <v>148080</v>
      </c>
      <c r="W103" s="3">
        <v>-4990</v>
      </c>
      <c r="X103" s="3">
        <v>-3.4</v>
      </c>
    </row>
    <row r="104" spans="1:24" ht="12.75" hidden="1">
      <c r="A104" s="3" t="s">
        <v>32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25894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25894</v>
      </c>
      <c r="V104" s="3">
        <v>32000</v>
      </c>
      <c r="W104" s="3">
        <v>-6106</v>
      </c>
      <c r="X104" s="3">
        <v>-19.1</v>
      </c>
    </row>
    <row r="105" spans="1:24" ht="12.75" hidden="1">
      <c r="A105" s="3" t="s">
        <v>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200000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200000</v>
      </c>
      <c r="V105" s="3">
        <v>200000</v>
      </c>
      <c r="W105" s="3">
        <v>0</v>
      </c>
      <c r="X105" s="3">
        <v>0</v>
      </c>
    </row>
    <row r="106" spans="1:24" ht="12.75" hidden="1">
      <c r="A106" s="3" t="s">
        <v>34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1920000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1920000</v>
      </c>
      <c r="V106" s="3">
        <v>3724831</v>
      </c>
      <c r="W106" s="3">
        <v>-1804831</v>
      </c>
      <c r="X106" s="3">
        <v>-48.5</v>
      </c>
    </row>
    <row r="107" spans="1:24" ht="12.75" hidden="1">
      <c r="A107" s="3" t="s">
        <v>35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350524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350524</v>
      </c>
      <c r="V107" s="3">
        <v>323960</v>
      </c>
      <c r="W107" s="3">
        <v>26564</v>
      </c>
      <c r="X107" s="3">
        <v>8.2</v>
      </c>
    </row>
    <row r="108" spans="1:24" ht="12.75" hidden="1">
      <c r="A108" s="3" t="s">
        <v>36</v>
      </c>
      <c r="B108" s="3">
        <v>2046</v>
      </c>
      <c r="C108" s="3">
        <v>45842</v>
      </c>
      <c r="D108" s="3">
        <v>0</v>
      </c>
      <c r="E108" s="3">
        <v>2200</v>
      </c>
      <c r="F108" s="3">
        <v>0</v>
      </c>
      <c r="G108" s="3">
        <v>6643</v>
      </c>
      <c r="H108" s="3">
        <v>565</v>
      </c>
      <c r="I108" s="3">
        <v>0</v>
      </c>
      <c r="J108" s="3">
        <v>1349</v>
      </c>
      <c r="K108" s="3">
        <v>11688</v>
      </c>
      <c r="L108" s="3">
        <v>0</v>
      </c>
      <c r="M108" s="3">
        <v>6360</v>
      </c>
      <c r="N108" s="3">
        <v>9104</v>
      </c>
      <c r="O108" s="3">
        <v>11080</v>
      </c>
      <c r="P108" s="3">
        <v>0</v>
      </c>
      <c r="Q108" s="3">
        <v>2100</v>
      </c>
      <c r="R108" s="3">
        <v>880</v>
      </c>
      <c r="S108" s="3">
        <v>0</v>
      </c>
      <c r="T108" s="3">
        <v>0</v>
      </c>
      <c r="U108" s="3">
        <v>99857</v>
      </c>
      <c r="V108" s="3">
        <v>105718</v>
      </c>
      <c r="W108" s="3">
        <v>-5861</v>
      </c>
      <c r="X108" s="3">
        <v>-5.5</v>
      </c>
    </row>
    <row r="109" spans="1:24" ht="12.75" hidden="1">
      <c r="A109" s="3" t="s">
        <v>37</v>
      </c>
      <c r="B109" s="3">
        <v>120176</v>
      </c>
      <c r="C109" s="3">
        <v>0</v>
      </c>
      <c r="D109" s="3">
        <v>495215</v>
      </c>
      <c r="E109" s="3">
        <v>900</v>
      </c>
      <c r="F109" s="3">
        <v>530700</v>
      </c>
      <c r="G109" s="3">
        <v>127644</v>
      </c>
      <c r="H109" s="3">
        <v>72995</v>
      </c>
      <c r="I109" s="3">
        <v>0</v>
      </c>
      <c r="J109" s="3">
        <v>151809</v>
      </c>
      <c r="K109" s="3">
        <v>1064637</v>
      </c>
      <c r="L109" s="3">
        <v>0</v>
      </c>
      <c r="M109" s="3">
        <v>127198</v>
      </c>
      <c r="N109" s="3">
        <v>6381136</v>
      </c>
      <c r="O109" s="3">
        <v>1629274</v>
      </c>
      <c r="P109" s="3">
        <v>4068402</v>
      </c>
      <c r="Q109" s="3">
        <v>100000</v>
      </c>
      <c r="R109" s="3">
        <v>950000</v>
      </c>
      <c r="S109" s="3">
        <v>29480</v>
      </c>
      <c r="T109" s="3">
        <v>39461</v>
      </c>
      <c r="U109" s="3">
        <v>15889027</v>
      </c>
      <c r="V109" s="3">
        <v>20576240</v>
      </c>
      <c r="W109" s="3">
        <v>-4687213</v>
      </c>
      <c r="X109" s="3">
        <v>-22.8</v>
      </c>
    </row>
    <row r="110" spans="1:24" ht="12.75" hidden="1">
      <c r="A110" s="3" t="s">
        <v>38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4400000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4400000</v>
      </c>
      <c r="V110" s="3">
        <v>2850000</v>
      </c>
      <c r="W110" s="3">
        <v>1550000</v>
      </c>
      <c r="X110" s="3">
        <v>54.4</v>
      </c>
    </row>
    <row r="111" spans="1:24" ht="12.75" hidden="1">
      <c r="A111" s="3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198239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198239</v>
      </c>
      <c r="V111" s="3">
        <v>192608</v>
      </c>
      <c r="W111" s="3">
        <v>5631</v>
      </c>
      <c r="X111" s="3">
        <v>2.9</v>
      </c>
    </row>
    <row r="112" spans="1:24" ht="12.75" hidden="1">
      <c r="A112" s="3" t="s">
        <v>40</v>
      </c>
      <c r="B112" s="3">
        <v>0</v>
      </c>
      <c r="C112" s="3">
        <v>0</v>
      </c>
      <c r="D112" s="3">
        <v>468500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468500</v>
      </c>
      <c r="V112" s="3">
        <v>503250</v>
      </c>
      <c r="W112" s="3">
        <v>-34750</v>
      </c>
      <c r="X112" s="3">
        <v>-6.9</v>
      </c>
    </row>
    <row r="113" spans="1:24" ht="12.75" hidden="1">
      <c r="A113" s="3" t="s">
        <v>41</v>
      </c>
      <c r="B113" s="3">
        <v>0</v>
      </c>
      <c r="C113" s="3">
        <v>0</v>
      </c>
      <c r="D113" s="3">
        <v>94000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94000</v>
      </c>
      <c r="V113" s="3">
        <v>100000</v>
      </c>
      <c r="W113" s="3">
        <v>-6000</v>
      </c>
      <c r="X113" s="3">
        <v>-6</v>
      </c>
    </row>
    <row r="114" spans="1:24" ht="12.75" hidden="1">
      <c r="A114" s="3" t="s">
        <v>42</v>
      </c>
      <c r="B114" s="3">
        <v>0</v>
      </c>
      <c r="C114" s="3">
        <v>0</v>
      </c>
      <c r="D114" s="3">
        <v>3821713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3821713</v>
      </c>
      <c r="V114" s="3">
        <v>4385000</v>
      </c>
      <c r="W114" s="3">
        <v>-563287</v>
      </c>
      <c r="X114" s="3">
        <v>-12.8</v>
      </c>
    </row>
    <row r="115" spans="1:24" ht="12.75" hidden="1">
      <c r="A115" s="3" t="s">
        <v>43</v>
      </c>
      <c r="B115" s="3">
        <v>0</v>
      </c>
      <c r="C115" s="3">
        <v>0</v>
      </c>
      <c r="D115" s="3">
        <v>0</v>
      </c>
      <c r="E115" s="3">
        <v>0</v>
      </c>
      <c r="F115" s="3">
        <v>1401390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750000</v>
      </c>
      <c r="U115" s="3">
        <v>2151390</v>
      </c>
      <c r="V115" s="3">
        <v>3180000</v>
      </c>
      <c r="W115" s="3">
        <v>-1028610</v>
      </c>
      <c r="X115" s="3">
        <v>-32.3</v>
      </c>
    </row>
    <row r="116" spans="1:24" ht="12.75" hidden="1">
      <c r="A116" s="3" t="s">
        <v>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6502594</v>
      </c>
      <c r="U116" s="3">
        <v>6502594</v>
      </c>
      <c r="V116" s="3">
        <v>4876351</v>
      </c>
      <c r="W116" s="3">
        <v>1626243</v>
      </c>
      <c r="X116" s="3">
        <v>33.3</v>
      </c>
    </row>
    <row r="117" spans="1:24" ht="12.75" hidden="1">
      <c r="A117" s="3" t="s">
        <v>45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32505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32505</v>
      </c>
      <c r="V117" s="3">
        <v>19592</v>
      </c>
      <c r="W117" s="3">
        <v>12913</v>
      </c>
      <c r="X117" s="3">
        <v>65.9</v>
      </c>
    </row>
    <row r="118" spans="1:24" ht="12.75" hidden="1">
      <c r="A118" s="3" t="s">
        <v>46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4596611</v>
      </c>
      <c r="Q118" s="3">
        <v>7353917</v>
      </c>
      <c r="R118" s="3">
        <v>0</v>
      </c>
      <c r="S118" s="3">
        <v>0</v>
      </c>
      <c r="T118" s="3">
        <v>4525</v>
      </c>
      <c r="U118" s="3">
        <v>11955053</v>
      </c>
      <c r="V118" s="3">
        <v>11885519</v>
      </c>
      <c r="W118" s="3">
        <v>69534</v>
      </c>
      <c r="X118" s="3">
        <v>0.6</v>
      </c>
    </row>
    <row r="119" spans="1:24" ht="12.75" hidden="1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2134500</v>
      </c>
      <c r="R119" s="3">
        <v>0</v>
      </c>
      <c r="S119" s="3">
        <v>0</v>
      </c>
      <c r="T119" s="3">
        <v>0</v>
      </c>
      <c r="U119" s="3">
        <v>2134500</v>
      </c>
      <c r="V119" s="3">
        <v>2040000</v>
      </c>
      <c r="W119" s="3">
        <v>94500</v>
      </c>
      <c r="X119" s="3">
        <v>4.6</v>
      </c>
    </row>
    <row r="120" spans="1:24" ht="12.75" hidden="1">
      <c r="A120" s="3" t="s">
        <v>48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12764000</v>
      </c>
      <c r="Q120" s="3">
        <v>1421804</v>
      </c>
      <c r="R120" s="3">
        <v>0</v>
      </c>
      <c r="S120" s="3">
        <v>0</v>
      </c>
      <c r="T120" s="3">
        <v>0</v>
      </c>
      <c r="U120" s="3">
        <v>14185804</v>
      </c>
      <c r="V120" s="3">
        <v>7869102</v>
      </c>
      <c r="W120" s="3">
        <v>6316702</v>
      </c>
      <c r="X120" s="3">
        <v>80.3</v>
      </c>
    </row>
    <row r="121" spans="1:24" ht="12.75" hidden="1">
      <c r="A121" s="3" t="s">
        <v>49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95000</v>
      </c>
      <c r="R121" s="3">
        <v>0</v>
      </c>
      <c r="S121" s="3">
        <v>0</v>
      </c>
      <c r="T121" s="3">
        <v>0</v>
      </c>
      <c r="U121" s="3">
        <v>95000</v>
      </c>
      <c r="V121" s="3">
        <v>55000</v>
      </c>
      <c r="W121" s="3">
        <v>40000</v>
      </c>
      <c r="X121" s="3">
        <v>72.7</v>
      </c>
    </row>
    <row r="122" spans="1:24" ht="12.75" hidden="1">
      <c r="A122" s="3" t="s">
        <v>50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1213000</v>
      </c>
      <c r="R122" s="3">
        <v>0</v>
      </c>
      <c r="S122" s="3">
        <v>0</v>
      </c>
      <c r="T122" s="3">
        <v>0</v>
      </c>
      <c r="U122" s="3">
        <v>1213000</v>
      </c>
      <c r="V122" s="3">
        <v>0</v>
      </c>
      <c r="W122" s="3">
        <v>1213000</v>
      </c>
      <c r="X122" s="3">
        <v>100</v>
      </c>
    </row>
    <row r="123" spans="1:24" ht="12.75" hidden="1">
      <c r="A123" s="3" t="s">
        <v>51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6930000</v>
      </c>
      <c r="R123" s="3">
        <v>0</v>
      </c>
      <c r="S123" s="3">
        <v>0</v>
      </c>
      <c r="T123" s="3">
        <v>0</v>
      </c>
      <c r="U123" s="3">
        <v>6930000</v>
      </c>
      <c r="V123" s="3">
        <v>4085000</v>
      </c>
      <c r="W123" s="3">
        <v>2845000</v>
      </c>
      <c r="X123" s="3">
        <v>69.6</v>
      </c>
    </row>
    <row r="124" spans="1:24" ht="12.75" hidden="1">
      <c r="A124" s="3" t="s">
        <v>52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7283395</v>
      </c>
      <c r="R124" s="3">
        <v>0</v>
      </c>
      <c r="S124" s="3">
        <v>0</v>
      </c>
      <c r="T124" s="3">
        <v>0</v>
      </c>
      <c r="U124" s="3">
        <v>7283395</v>
      </c>
      <c r="V124" s="3">
        <v>2160000</v>
      </c>
      <c r="W124" s="3">
        <v>5123395</v>
      </c>
      <c r="X124" s="3">
        <v>237.2</v>
      </c>
    </row>
    <row r="125" spans="1:24" ht="12.75" hidden="1">
      <c r="A125" s="3" t="s">
        <v>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1065000</v>
      </c>
      <c r="R125" s="3">
        <v>0</v>
      </c>
      <c r="S125" s="3">
        <v>0</v>
      </c>
      <c r="T125" s="3">
        <v>0</v>
      </c>
      <c r="U125" s="3">
        <v>1065000</v>
      </c>
      <c r="V125" s="3">
        <v>0</v>
      </c>
      <c r="W125" s="3">
        <v>1065000</v>
      </c>
      <c r="X125" s="3">
        <v>100</v>
      </c>
    </row>
    <row r="126" spans="1:24" ht="12.75" hidden="1">
      <c r="A126" s="3" t="s">
        <v>54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121242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121242</v>
      </c>
      <c r="V126" s="3">
        <v>41191</v>
      </c>
      <c r="W126" s="3">
        <v>80051</v>
      </c>
      <c r="X126" s="3">
        <v>194.3</v>
      </c>
    </row>
    <row r="127" spans="1:24" ht="12.75" hidden="1">
      <c r="A127" s="3" t="s">
        <v>55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110000</v>
      </c>
      <c r="M127" s="3">
        <v>0</v>
      </c>
      <c r="N127" s="3">
        <v>52808</v>
      </c>
      <c r="O127" s="3">
        <v>0</v>
      </c>
      <c r="P127" s="3">
        <v>0</v>
      </c>
      <c r="Q127" s="3">
        <v>171350</v>
      </c>
      <c r="R127" s="3">
        <v>0</v>
      </c>
      <c r="S127" s="3">
        <v>0</v>
      </c>
      <c r="T127" s="3">
        <v>0</v>
      </c>
      <c r="U127" s="3">
        <v>334158</v>
      </c>
      <c r="V127" s="3">
        <v>152916</v>
      </c>
      <c r="W127" s="3">
        <v>181242</v>
      </c>
      <c r="X127" s="3">
        <v>118.5</v>
      </c>
    </row>
    <row r="128" spans="1:24" ht="12.75" hidden="1">
      <c r="A128" s="3" t="s">
        <v>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1448637</v>
      </c>
      <c r="U128" s="3">
        <v>1448637</v>
      </c>
      <c r="V128" s="3">
        <v>1281853</v>
      </c>
      <c r="W128" s="3">
        <v>166784</v>
      </c>
      <c r="X128" s="3">
        <v>13</v>
      </c>
    </row>
    <row r="129" spans="1:24" ht="12.75" hidden="1">
      <c r="A129" s="3" t="s">
        <v>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85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1278299</v>
      </c>
      <c r="O129" s="3">
        <v>8326937</v>
      </c>
      <c r="P129" s="3">
        <v>0</v>
      </c>
      <c r="Q129" s="3">
        <v>0</v>
      </c>
      <c r="R129" s="3">
        <v>0</v>
      </c>
      <c r="S129" s="3">
        <v>0</v>
      </c>
      <c r="T129" s="3">
        <v>2558</v>
      </c>
      <c r="U129" s="3">
        <v>9607879</v>
      </c>
      <c r="V129" s="3">
        <v>7971456</v>
      </c>
      <c r="W129" s="3">
        <v>1636423</v>
      </c>
      <c r="X129" s="3">
        <v>20.5</v>
      </c>
    </row>
    <row r="130" spans="1:24" ht="12.75" hidden="1">
      <c r="A130" s="3" t="s">
        <v>58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848078</v>
      </c>
      <c r="Q130" s="3">
        <v>0</v>
      </c>
      <c r="R130" s="3">
        <v>0</v>
      </c>
      <c r="S130" s="3">
        <v>0</v>
      </c>
      <c r="T130" s="3">
        <v>0</v>
      </c>
      <c r="U130" s="3">
        <v>848078</v>
      </c>
      <c r="V130" s="3">
        <v>858181</v>
      </c>
      <c r="W130" s="3">
        <v>-10103</v>
      </c>
      <c r="X130" s="3">
        <v>-1.2</v>
      </c>
    </row>
    <row r="131" spans="1:24" ht="12.75" hidden="1">
      <c r="A131" s="3" t="s">
        <v>59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130661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130661</v>
      </c>
      <c r="V131" s="3">
        <v>153380</v>
      </c>
      <c r="W131" s="3">
        <v>-22719</v>
      </c>
      <c r="X131" s="3">
        <v>-14.8</v>
      </c>
    </row>
    <row r="132" spans="1:24" ht="12.75" hidden="1">
      <c r="A132" s="3" t="s">
        <v>61</v>
      </c>
      <c r="B132" s="3">
        <v>0</v>
      </c>
      <c r="C132" s="3">
        <v>0</v>
      </c>
      <c r="D132" s="3">
        <v>1100</v>
      </c>
      <c r="E132" s="3">
        <v>0</v>
      </c>
      <c r="F132" s="3">
        <v>0</v>
      </c>
      <c r="G132" s="3">
        <v>0</v>
      </c>
      <c r="H132" s="3">
        <v>339</v>
      </c>
      <c r="I132" s="3">
        <v>0</v>
      </c>
      <c r="J132" s="3">
        <v>5284</v>
      </c>
      <c r="K132" s="3">
        <v>514800</v>
      </c>
      <c r="L132" s="3">
        <v>0</v>
      </c>
      <c r="M132" s="3">
        <v>0</v>
      </c>
      <c r="N132" s="3">
        <v>0</v>
      </c>
      <c r="O132" s="3">
        <v>5472</v>
      </c>
      <c r="P132" s="3">
        <v>0</v>
      </c>
      <c r="Q132" s="3">
        <v>8700</v>
      </c>
      <c r="R132" s="3">
        <v>0</v>
      </c>
      <c r="S132" s="3">
        <v>0</v>
      </c>
      <c r="T132" s="3">
        <v>0</v>
      </c>
      <c r="U132" s="3">
        <v>535695</v>
      </c>
      <c r="V132" s="3">
        <v>486595</v>
      </c>
      <c r="W132" s="3">
        <v>49100</v>
      </c>
      <c r="X132" s="3">
        <v>10.1</v>
      </c>
    </row>
    <row r="133" spans="1:24" ht="12.75" hidden="1">
      <c r="A133" s="3" t="s">
        <v>62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193050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193050</v>
      </c>
      <c r="V133" s="3">
        <v>175500</v>
      </c>
      <c r="W133" s="3">
        <v>17550</v>
      </c>
      <c r="X133" s="3">
        <v>10</v>
      </c>
    </row>
    <row r="134" spans="1:24" ht="12.75" hidden="1">
      <c r="A134" s="3" t="s">
        <v>63</v>
      </c>
      <c r="B134" s="3">
        <v>11666</v>
      </c>
      <c r="C134" s="3">
        <v>0</v>
      </c>
      <c r="D134" s="3">
        <v>0</v>
      </c>
      <c r="E134" s="3">
        <v>260</v>
      </c>
      <c r="F134" s="3">
        <v>0</v>
      </c>
      <c r="G134" s="3">
        <v>66370</v>
      </c>
      <c r="H134" s="3">
        <v>0</v>
      </c>
      <c r="I134" s="3">
        <v>0</v>
      </c>
      <c r="J134" s="3">
        <v>56783</v>
      </c>
      <c r="K134" s="3">
        <v>322389</v>
      </c>
      <c r="L134" s="3">
        <v>0</v>
      </c>
      <c r="M134" s="3">
        <v>17399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6610</v>
      </c>
      <c r="U134" s="3">
        <v>481477</v>
      </c>
      <c r="V134" s="3">
        <v>637835</v>
      </c>
      <c r="W134" s="3">
        <v>-156358</v>
      </c>
      <c r="X134" s="3">
        <v>-24.5</v>
      </c>
    </row>
    <row r="135" spans="1:24" ht="12.75" hidden="1">
      <c r="A135" s="3" t="s">
        <v>64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1500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1500</v>
      </c>
      <c r="V135" s="3">
        <v>0</v>
      </c>
      <c r="W135" s="3">
        <v>1500</v>
      </c>
      <c r="X135" s="3">
        <v>100</v>
      </c>
    </row>
    <row r="136" spans="1:24" ht="12.75" hidden="1">
      <c r="A136" s="3" t="s">
        <v>65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1000</v>
      </c>
      <c r="K136" s="3">
        <v>6946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7946</v>
      </c>
      <c r="V136" s="3">
        <v>8230</v>
      </c>
      <c r="W136" s="3">
        <v>-284</v>
      </c>
      <c r="X136" s="3">
        <v>-3.5</v>
      </c>
    </row>
    <row r="137" spans="1:24" ht="12.75" hidden="1">
      <c r="A137" s="3" t="s">
        <v>66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78428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78428</v>
      </c>
      <c r="V137" s="3">
        <v>116964</v>
      </c>
      <c r="W137" s="3">
        <v>-38536</v>
      </c>
      <c r="X137" s="3">
        <v>-32.9</v>
      </c>
    </row>
    <row r="138" spans="1:24" ht="12.75" hidden="1">
      <c r="A138" s="3" t="s">
        <v>67</v>
      </c>
      <c r="B138" s="3">
        <v>12013</v>
      </c>
      <c r="C138" s="3">
        <v>12395</v>
      </c>
      <c r="D138" s="3">
        <v>4200</v>
      </c>
      <c r="E138" s="3">
        <v>10751</v>
      </c>
      <c r="F138" s="3">
        <v>5200</v>
      </c>
      <c r="G138" s="3">
        <v>4906</v>
      </c>
      <c r="H138" s="3">
        <v>12229</v>
      </c>
      <c r="I138" s="3">
        <v>9613</v>
      </c>
      <c r="J138" s="3">
        <v>12681</v>
      </c>
      <c r="K138" s="3">
        <v>28855</v>
      </c>
      <c r="L138" s="3">
        <v>0</v>
      </c>
      <c r="M138" s="3">
        <v>16960</v>
      </c>
      <c r="N138" s="3">
        <v>9861</v>
      </c>
      <c r="O138" s="3">
        <v>3650</v>
      </c>
      <c r="P138" s="3">
        <v>22219</v>
      </c>
      <c r="Q138" s="3">
        <v>21500</v>
      </c>
      <c r="R138" s="3">
        <v>25278</v>
      </c>
      <c r="S138" s="3">
        <v>10208</v>
      </c>
      <c r="T138" s="3">
        <v>14367</v>
      </c>
      <c r="U138" s="3">
        <v>236886</v>
      </c>
      <c r="V138" s="3">
        <v>251467</v>
      </c>
      <c r="W138" s="3">
        <v>-14581</v>
      </c>
      <c r="X138" s="3">
        <v>-5.8</v>
      </c>
    </row>
    <row r="139" spans="1:24" ht="12.75" hidden="1">
      <c r="A139" s="3" t="s">
        <v>68</v>
      </c>
      <c r="B139" s="3">
        <v>43775</v>
      </c>
      <c r="C139" s="3">
        <v>0</v>
      </c>
      <c r="D139" s="3">
        <v>2500</v>
      </c>
      <c r="E139" s="3">
        <v>3711</v>
      </c>
      <c r="F139" s="3">
        <v>650</v>
      </c>
      <c r="G139" s="3">
        <v>20136</v>
      </c>
      <c r="H139" s="3">
        <v>4074</v>
      </c>
      <c r="I139" s="3">
        <v>45664</v>
      </c>
      <c r="J139" s="3">
        <v>76913</v>
      </c>
      <c r="K139" s="3">
        <v>11625</v>
      </c>
      <c r="L139" s="3">
        <v>980</v>
      </c>
      <c r="M139" s="3">
        <v>2491</v>
      </c>
      <c r="N139" s="3">
        <v>2393</v>
      </c>
      <c r="O139" s="3">
        <v>1073</v>
      </c>
      <c r="P139" s="3">
        <v>5544</v>
      </c>
      <c r="Q139" s="3">
        <v>19544</v>
      </c>
      <c r="R139" s="3">
        <v>9535</v>
      </c>
      <c r="S139" s="3">
        <v>3924</v>
      </c>
      <c r="T139" s="3">
        <v>4861</v>
      </c>
      <c r="U139" s="3">
        <v>259393</v>
      </c>
      <c r="V139" s="3">
        <v>219284</v>
      </c>
      <c r="W139" s="3">
        <v>40109</v>
      </c>
      <c r="X139" s="3">
        <v>18.3</v>
      </c>
    </row>
    <row r="140" spans="1:24" ht="12.75" hidden="1">
      <c r="A140" s="3" t="s">
        <v>69</v>
      </c>
      <c r="B140" s="3">
        <v>7282</v>
      </c>
      <c r="C140" s="3">
        <v>0</v>
      </c>
      <c r="D140" s="3">
        <v>4200</v>
      </c>
      <c r="E140" s="3">
        <v>5300</v>
      </c>
      <c r="F140" s="3">
        <v>2500</v>
      </c>
      <c r="G140" s="3">
        <v>71939</v>
      </c>
      <c r="H140" s="3">
        <v>11071</v>
      </c>
      <c r="I140" s="3">
        <v>2841</v>
      </c>
      <c r="J140" s="3">
        <v>19280</v>
      </c>
      <c r="K140" s="3">
        <v>2473</v>
      </c>
      <c r="L140" s="3">
        <v>0</v>
      </c>
      <c r="M140" s="3">
        <v>6827</v>
      </c>
      <c r="N140" s="3">
        <v>28494</v>
      </c>
      <c r="O140" s="3">
        <v>22194</v>
      </c>
      <c r="P140" s="3">
        <v>103678</v>
      </c>
      <c r="Q140" s="3">
        <v>80675</v>
      </c>
      <c r="R140" s="3">
        <v>2456</v>
      </c>
      <c r="S140" s="3">
        <v>5537</v>
      </c>
      <c r="T140" s="3">
        <v>26861</v>
      </c>
      <c r="U140" s="3">
        <v>403608</v>
      </c>
      <c r="V140" s="3">
        <v>403700</v>
      </c>
      <c r="W140" s="3">
        <v>-92</v>
      </c>
      <c r="X140" s="3">
        <v>0</v>
      </c>
    </row>
    <row r="141" spans="1:24" ht="12.75" hidden="1">
      <c r="A141" s="3" t="s">
        <v>70</v>
      </c>
      <c r="B141" s="3">
        <v>0</v>
      </c>
      <c r="C141" s="3">
        <v>0</v>
      </c>
      <c r="D141" s="3">
        <v>0</v>
      </c>
      <c r="E141" s="3">
        <v>600</v>
      </c>
      <c r="F141" s="3">
        <v>0</v>
      </c>
      <c r="G141" s="3">
        <v>0</v>
      </c>
      <c r="H141" s="3">
        <v>700</v>
      </c>
      <c r="I141" s="3">
        <v>0</v>
      </c>
      <c r="J141" s="3">
        <v>2878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31765</v>
      </c>
      <c r="R141" s="3">
        <v>0</v>
      </c>
      <c r="S141" s="3">
        <v>0</v>
      </c>
      <c r="T141" s="3">
        <v>0</v>
      </c>
      <c r="U141" s="3">
        <v>35943</v>
      </c>
      <c r="V141" s="3">
        <v>20969</v>
      </c>
      <c r="W141" s="3">
        <v>14974</v>
      </c>
      <c r="X141" s="3">
        <v>71.4</v>
      </c>
    </row>
    <row r="142" spans="1:24" ht="12.75" hidden="1">
      <c r="A142" s="3" t="s">
        <v>71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4714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5834399</v>
      </c>
      <c r="P142" s="3">
        <v>0</v>
      </c>
      <c r="Q142" s="3">
        <v>64800</v>
      </c>
      <c r="R142" s="3">
        <v>0</v>
      </c>
      <c r="S142" s="3">
        <v>0</v>
      </c>
      <c r="T142" s="3">
        <v>0</v>
      </c>
      <c r="U142" s="3">
        <v>5903913</v>
      </c>
      <c r="V142" s="3">
        <v>4043786</v>
      </c>
      <c r="W142" s="3">
        <v>1860127</v>
      </c>
      <c r="X142" s="3">
        <v>46</v>
      </c>
    </row>
    <row r="143" spans="1:24" ht="12.75" hidden="1">
      <c r="A143" s="3" t="s">
        <v>72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11000</v>
      </c>
      <c r="U143" s="3">
        <v>11000</v>
      </c>
      <c r="V143" s="3">
        <v>10864</v>
      </c>
      <c r="W143" s="3">
        <v>136</v>
      </c>
      <c r="X143" s="3">
        <v>1.3</v>
      </c>
    </row>
    <row r="144" spans="1:24" ht="12.75" hidden="1">
      <c r="A144" s="3" t="s">
        <v>73</v>
      </c>
      <c r="B144" s="3">
        <v>626</v>
      </c>
      <c r="C144" s="3">
        <v>2439</v>
      </c>
      <c r="D144" s="3">
        <v>600</v>
      </c>
      <c r="E144" s="3">
        <v>7800</v>
      </c>
      <c r="F144" s="3">
        <v>2200</v>
      </c>
      <c r="G144" s="3">
        <v>3925</v>
      </c>
      <c r="H144" s="3">
        <v>2544</v>
      </c>
      <c r="I144" s="3">
        <v>36040</v>
      </c>
      <c r="J144" s="3">
        <v>3803</v>
      </c>
      <c r="K144" s="3">
        <v>6650</v>
      </c>
      <c r="L144" s="3">
        <v>61433</v>
      </c>
      <c r="M144" s="3">
        <v>2120</v>
      </c>
      <c r="N144" s="3">
        <v>90090</v>
      </c>
      <c r="O144" s="3">
        <v>106670</v>
      </c>
      <c r="P144" s="3">
        <v>178349</v>
      </c>
      <c r="Q144" s="3">
        <v>21100</v>
      </c>
      <c r="R144" s="3">
        <v>827</v>
      </c>
      <c r="S144" s="3">
        <v>1574</v>
      </c>
      <c r="T144" s="3">
        <v>9177</v>
      </c>
      <c r="U144" s="3">
        <v>537967</v>
      </c>
      <c r="V144" s="3">
        <v>484594</v>
      </c>
      <c r="W144" s="3">
        <v>53373</v>
      </c>
      <c r="X144" s="3">
        <v>11</v>
      </c>
    </row>
    <row r="145" spans="1:24" ht="12.75" hidden="1">
      <c r="A145" s="3" t="s">
        <v>74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2392</v>
      </c>
      <c r="L145" s="3">
        <v>0</v>
      </c>
      <c r="M145" s="3">
        <v>0</v>
      </c>
      <c r="N145" s="3">
        <v>0</v>
      </c>
      <c r="O145" s="3">
        <v>0</v>
      </c>
      <c r="P145" s="3">
        <v>89958</v>
      </c>
      <c r="Q145" s="3">
        <v>2360844</v>
      </c>
      <c r="R145" s="3">
        <v>0</v>
      </c>
      <c r="S145" s="3">
        <v>0</v>
      </c>
      <c r="T145" s="3">
        <v>57313</v>
      </c>
      <c r="U145" s="3">
        <v>2510507</v>
      </c>
      <c r="V145" s="3">
        <v>2421455</v>
      </c>
      <c r="W145" s="3">
        <v>89052</v>
      </c>
      <c r="X145" s="3">
        <v>3.7</v>
      </c>
    </row>
    <row r="146" spans="1:24" ht="12.75" hidden="1">
      <c r="A146" s="3" t="s">
        <v>75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1086466</v>
      </c>
      <c r="R146" s="3">
        <v>0</v>
      </c>
      <c r="S146" s="3">
        <v>0</v>
      </c>
      <c r="T146" s="3">
        <v>0</v>
      </c>
      <c r="U146" s="3">
        <v>1086466</v>
      </c>
      <c r="V146" s="3">
        <v>1010198</v>
      </c>
      <c r="W146" s="3">
        <v>76268</v>
      </c>
      <c r="X146" s="3">
        <v>7.5</v>
      </c>
    </row>
    <row r="147" spans="1:24" ht="12.75" hidden="1">
      <c r="A147" s="3" t="s">
        <v>76</v>
      </c>
      <c r="B147" s="3">
        <v>201</v>
      </c>
      <c r="C147" s="3">
        <v>1050</v>
      </c>
      <c r="D147" s="3">
        <v>330</v>
      </c>
      <c r="E147" s="3">
        <v>481</v>
      </c>
      <c r="F147" s="3">
        <v>170</v>
      </c>
      <c r="G147" s="3">
        <v>583</v>
      </c>
      <c r="H147" s="3">
        <v>154</v>
      </c>
      <c r="I147" s="3">
        <v>424</v>
      </c>
      <c r="J147" s="3">
        <v>126</v>
      </c>
      <c r="K147" s="3">
        <v>297</v>
      </c>
      <c r="L147" s="3">
        <v>0</v>
      </c>
      <c r="M147" s="3">
        <v>81</v>
      </c>
      <c r="N147" s="3">
        <v>580</v>
      </c>
      <c r="O147" s="3">
        <v>508</v>
      </c>
      <c r="P147" s="3">
        <v>0</v>
      </c>
      <c r="Q147" s="3">
        <v>300</v>
      </c>
      <c r="R147" s="3">
        <v>166</v>
      </c>
      <c r="S147" s="3">
        <v>404</v>
      </c>
      <c r="T147" s="3">
        <v>266</v>
      </c>
      <c r="U147" s="3">
        <v>6121</v>
      </c>
      <c r="V147" s="3">
        <v>7804</v>
      </c>
      <c r="W147" s="3">
        <v>-1683</v>
      </c>
      <c r="X147" s="3">
        <v>-21.6</v>
      </c>
    </row>
    <row r="148" spans="1:24" ht="12.75" hidden="1">
      <c r="A148" s="3" t="s">
        <v>77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1939500</v>
      </c>
      <c r="Q148" s="3">
        <v>0</v>
      </c>
      <c r="R148" s="3">
        <v>0</v>
      </c>
      <c r="S148" s="3">
        <v>0</v>
      </c>
      <c r="T148" s="3">
        <v>0</v>
      </c>
      <c r="U148" s="3">
        <v>1939500</v>
      </c>
      <c r="V148" s="3">
        <v>1808500</v>
      </c>
      <c r="W148" s="3">
        <v>131000</v>
      </c>
      <c r="X148" s="3">
        <v>7.2</v>
      </c>
    </row>
    <row r="149" spans="1:24" ht="12.75" hidden="1">
      <c r="A149" s="3" t="s">
        <v>78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1175507</v>
      </c>
      <c r="R149" s="3">
        <v>0</v>
      </c>
      <c r="S149" s="3">
        <v>0</v>
      </c>
      <c r="T149" s="3">
        <v>0</v>
      </c>
      <c r="U149" s="3">
        <v>1175507</v>
      </c>
      <c r="V149" s="3">
        <v>1274902</v>
      </c>
      <c r="W149" s="3">
        <v>-99395</v>
      </c>
      <c r="X149" s="3">
        <v>-7.8</v>
      </c>
    </row>
    <row r="150" spans="1:24" ht="12.75" hidden="1">
      <c r="A150" s="3" t="s">
        <v>79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593000</v>
      </c>
      <c r="R150" s="3">
        <v>0</v>
      </c>
      <c r="S150" s="3">
        <v>0</v>
      </c>
      <c r="T150" s="3">
        <v>0</v>
      </c>
      <c r="U150" s="3">
        <v>593000</v>
      </c>
      <c r="V150" s="3">
        <v>592864</v>
      </c>
      <c r="W150" s="3">
        <v>136</v>
      </c>
      <c r="X150" s="3">
        <v>0</v>
      </c>
    </row>
    <row r="151" spans="1:24" ht="12.75" hidden="1">
      <c r="A151" s="3" t="s">
        <v>80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70600</v>
      </c>
      <c r="R151" s="3">
        <v>0</v>
      </c>
      <c r="S151" s="3">
        <v>0</v>
      </c>
      <c r="T151" s="3">
        <v>0</v>
      </c>
      <c r="U151" s="3">
        <v>70600</v>
      </c>
      <c r="V151" s="3">
        <v>70560</v>
      </c>
      <c r="W151" s="3">
        <v>40</v>
      </c>
      <c r="X151" s="3">
        <v>0.1</v>
      </c>
    </row>
    <row r="152" spans="1:24" ht="12.75" hidden="1">
      <c r="A152" s="3" t="s">
        <v>81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2100000</v>
      </c>
      <c r="R152" s="3">
        <v>0</v>
      </c>
      <c r="S152" s="3">
        <v>0</v>
      </c>
      <c r="T152" s="3">
        <v>0</v>
      </c>
      <c r="U152" s="3">
        <v>2100000</v>
      </c>
      <c r="V152" s="3">
        <v>2092577</v>
      </c>
      <c r="W152" s="3">
        <v>7423</v>
      </c>
      <c r="X152" s="3">
        <v>0.4</v>
      </c>
    </row>
    <row r="153" spans="1:24" ht="12.75" hidden="1">
      <c r="A153" s="3" t="s">
        <v>82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1378</v>
      </c>
      <c r="I153" s="3">
        <v>0</v>
      </c>
      <c r="J153" s="3">
        <v>2000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3378</v>
      </c>
      <c r="V153" s="3">
        <v>2682</v>
      </c>
      <c r="W153" s="3">
        <v>696</v>
      </c>
      <c r="X153" s="3">
        <v>26</v>
      </c>
    </row>
    <row r="154" spans="1:24" ht="12.75" hidden="1">
      <c r="A154" s="3" t="s">
        <v>83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9421481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9421481</v>
      </c>
      <c r="V154" s="3">
        <v>10000000</v>
      </c>
      <c r="W154" s="3">
        <v>-578519</v>
      </c>
      <c r="X154" s="3">
        <v>-5.8</v>
      </c>
    </row>
    <row r="155" spans="1:24" ht="12.75" hidden="1">
      <c r="A155" s="3" t="s">
        <v>84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216634</v>
      </c>
      <c r="R155" s="3">
        <v>0</v>
      </c>
      <c r="S155" s="3">
        <v>0</v>
      </c>
      <c r="T155" s="3">
        <v>124815</v>
      </c>
      <c r="U155" s="3">
        <v>341449</v>
      </c>
      <c r="V155" s="3">
        <v>102873</v>
      </c>
      <c r="W155" s="3">
        <v>238576</v>
      </c>
      <c r="X155" s="3">
        <v>231.9</v>
      </c>
    </row>
    <row r="156" spans="1:24" ht="12.75" hidden="1">
      <c r="A156" s="3" t="s">
        <v>85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701500</v>
      </c>
      <c r="R156" s="3">
        <v>0</v>
      </c>
      <c r="S156" s="3">
        <v>0</v>
      </c>
      <c r="T156" s="3">
        <v>0</v>
      </c>
      <c r="U156" s="3">
        <v>701500</v>
      </c>
      <c r="V156" s="3">
        <v>214700</v>
      </c>
      <c r="W156" s="3">
        <v>486800</v>
      </c>
      <c r="X156" s="3">
        <v>226.7</v>
      </c>
    </row>
    <row r="157" spans="1:24" ht="12.75" hidden="1">
      <c r="A157" s="3" t="s">
        <v>86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1974500</v>
      </c>
      <c r="R157" s="3">
        <v>0</v>
      </c>
      <c r="S157" s="3">
        <v>0</v>
      </c>
      <c r="T157" s="3">
        <v>0</v>
      </c>
      <c r="U157" s="3">
        <v>1974500</v>
      </c>
      <c r="V157" s="3">
        <v>1866300</v>
      </c>
      <c r="W157" s="3">
        <v>108200</v>
      </c>
      <c r="X157" s="3">
        <v>5.8</v>
      </c>
    </row>
    <row r="158" spans="1:24" ht="12.75" hidden="1">
      <c r="A158" s="3" t="s">
        <v>87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16315500</v>
      </c>
      <c r="Q158" s="3">
        <v>0</v>
      </c>
      <c r="R158" s="3">
        <v>0</v>
      </c>
      <c r="S158" s="3">
        <v>0</v>
      </c>
      <c r="T158" s="3">
        <v>175000</v>
      </c>
      <c r="U158" s="3">
        <v>16490500</v>
      </c>
      <c r="V158" s="3">
        <v>9189600</v>
      </c>
      <c r="W158" s="3">
        <v>7300900</v>
      </c>
      <c r="X158" s="3">
        <v>79.4</v>
      </c>
    </row>
    <row r="159" spans="1:24" ht="12.75" hidden="1">
      <c r="A159" s="3" t="s">
        <v>88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5000</v>
      </c>
      <c r="N159" s="3">
        <v>0</v>
      </c>
      <c r="O159" s="3">
        <v>0</v>
      </c>
      <c r="P159" s="3">
        <v>25041028</v>
      </c>
      <c r="Q159" s="3">
        <v>0</v>
      </c>
      <c r="R159" s="3">
        <v>0</v>
      </c>
      <c r="S159" s="3">
        <v>0</v>
      </c>
      <c r="T159" s="3">
        <v>0</v>
      </c>
      <c r="U159" s="3">
        <v>25046028</v>
      </c>
      <c r="V159" s="3">
        <v>20398561</v>
      </c>
      <c r="W159" s="3">
        <v>4647467</v>
      </c>
      <c r="X159" s="3">
        <v>22.8</v>
      </c>
    </row>
    <row r="160" spans="1:24" ht="12.75" hidden="1">
      <c r="A160" s="3" t="s">
        <v>89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1696</v>
      </c>
      <c r="L160" s="3">
        <v>0</v>
      </c>
      <c r="M160" s="3">
        <v>0</v>
      </c>
      <c r="N160" s="3">
        <v>4785</v>
      </c>
      <c r="O160" s="3">
        <v>11068</v>
      </c>
      <c r="P160" s="3">
        <v>0</v>
      </c>
      <c r="Q160" s="3">
        <v>182700</v>
      </c>
      <c r="R160" s="3">
        <v>0</v>
      </c>
      <c r="S160" s="3">
        <v>0</v>
      </c>
      <c r="T160" s="3">
        <v>72138</v>
      </c>
      <c r="U160" s="3">
        <v>272387</v>
      </c>
      <c r="V160" s="3">
        <v>240269</v>
      </c>
      <c r="W160" s="3">
        <v>32118</v>
      </c>
      <c r="X160" s="3">
        <v>13.4</v>
      </c>
    </row>
    <row r="161" spans="1:24" ht="12.75" hidden="1">
      <c r="A161" s="3" t="s">
        <v>90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8307000</v>
      </c>
      <c r="R161" s="3">
        <v>0</v>
      </c>
      <c r="S161" s="3">
        <v>0</v>
      </c>
      <c r="T161" s="3">
        <v>0</v>
      </c>
      <c r="U161" s="3">
        <v>8307000</v>
      </c>
      <c r="V161" s="3">
        <v>7632000</v>
      </c>
      <c r="W161" s="3">
        <v>675000</v>
      </c>
      <c r="X161" s="3">
        <v>8.8</v>
      </c>
    </row>
    <row r="162" spans="1:24" ht="12.75" hidden="1">
      <c r="A162" s="3" t="s">
        <v>91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5790000</v>
      </c>
      <c r="Q162" s="3">
        <v>28390000</v>
      </c>
      <c r="R162" s="3">
        <v>0</v>
      </c>
      <c r="S162" s="3">
        <v>0</v>
      </c>
      <c r="T162" s="3">
        <v>1850000</v>
      </c>
      <c r="U162" s="3">
        <v>36030000</v>
      </c>
      <c r="V162" s="3">
        <v>31465000</v>
      </c>
      <c r="W162" s="3">
        <v>4565000</v>
      </c>
      <c r="X162" s="3">
        <v>14.5</v>
      </c>
    </row>
    <row r="163" spans="1:24" ht="12.75" hidden="1">
      <c r="A163" s="3" t="s">
        <v>92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2980000</v>
      </c>
      <c r="Q163" s="3">
        <v>0</v>
      </c>
      <c r="R163" s="3">
        <v>0</v>
      </c>
      <c r="S163" s="3">
        <v>0</v>
      </c>
      <c r="T163" s="3">
        <v>1500000</v>
      </c>
      <c r="U163" s="3">
        <v>4480000</v>
      </c>
      <c r="V163" s="3">
        <v>910000</v>
      </c>
      <c r="W163" s="3">
        <v>3570000</v>
      </c>
      <c r="X163" s="3">
        <v>392.3</v>
      </c>
    </row>
    <row r="164" spans="1:24" ht="12.75" hidden="1">
      <c r="A164" s="3" t="s">
        <v>93</v>
      </c>
      <c r="B164" s="3">
        <v>0</v>
      </c>
      <c r="C164" s="3">
        <v>0</v>
      </c>
      <c r="D164" s="3">
        <v>70000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768686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838686</v>
      </c>
      <c r="V164" s="3">
        <v>857301</v>
      </c>
      <c r="W164" s="3">
        <v>-18615</v>
      </c>
      <c r="X164" s="3">
        <v>-2.2</v>
      </c>
    </row>
    <row r="165" spans="1:24" ht="12.75" hidden="1">
      <c r="A165" s="3" t="s">
        <v>94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14696169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14696169</v>
      </c>
      <c r="V165" s="3">
        <v>13321925</v>
      </c>
      <c r="W165" s="3">
        <v>1374244</v>
      </c>
      <c r="X165" s="3">
        <v>10.3</v>
      </c>
    </row>
    <row r="166" spans="1:24" ht="12.75" hidden="1">
      <c r="A166" s="3" t="s">
        <v>95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970000</v>
      </c>
      <c r="T166" s="3">
        <v>0</v>
      </c>
      <c r="U166" s="3">
        <v>970000</v>
      </c>
      <c r="V166" s="3">
        <v>551000</v>
      </c>
      <c r="W166" s="3">
        <v>419000</v>
      </c>
      <c r="X166" s="3">
        <v>76</v>
      </c>
    </row>
    <row r="167" spans="1:24" ht="12.75" hidden="1">
      <c r="A167" s="3" t="s">
        <v>97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2000000</v>
      </c>
      <c r="T167" s="3">
        <v>0</v>
      </c>
      <c r="U167" s="3">
        <v>2000000</v>
      </c>
      <c r="V167" s="3">
        <v>1101000</v>
      </c>
      <c r="W167" s="3">
        <v>899000</v>
      </c>
      <c r="X167" s="3">
        <v>81.7</v>
      </c>
    </row>
    <row r="168" spans="1:24" ht="12.75" hidden="1">
      <c r="A168" s="3" t="s">
        <v>98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3578000</v>
      </c>
      <c r="T168" s="3">
        <v>0</v>
      </c>
      <c r="U168" s="3">
        <v>3578000</v>
      </c>
      <c r="V168" s="3">
        <v>3731000</v>
      </c>
      <c r="W168" s="3">
        <v>-153000</v>
      </c>
      <c r="X168" s="3">
        <v>-4.1</v>
      </c>
    </row>
    <row r="169" spans="1:24" ht="12.75" hidden="1">
      <c r="A169" s="3" t="s">
        <v>99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1600000</v>
      </c>
      <c r="T169" s="3">
        <v>0</v>
      </c>
      <c r="U169" s="3">
        <v>1600000</v>
      </c>
      <c r="V169" s="3">
        <v>130000</v>
      </c>
      <c r="W169" s="3">
        <v>1470000</v>
      </c>
      <c r="X169" s="3">
        <v>1130.8</v>
      </c>
    </row>
    <row r="170" spans="1:24" ht="12.75" hidden="1">
      <c r="A170" s="3" t="s">
        <v>100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4883000</v>
      </c>
      <c r="T170" s="3">
        <v>0</v>
      </c>
      <c r="U170" s="3">
        <v>4883000</v>
      </c>
      <c r="V170" s="3">
        <v>6743500</v>
      </c>
      <c r="W170" s="3">
        <v>-1860500</v>
      </c>
      <c r="X170" s="3">
        <v>-27.6</v>
      </c>
    </row>
    <row r="171" spans="1:24" ht="12.75" hidden="1">
      <c r="A171" s="3" t="s">
        <v>101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89110000</v>
      </c>
      <c r="T171" s="3">
        <v>0</v>
      </c>
      <c r="U171" s="3">
        <v>89110000</v>
      </c>
      <c r="V171" s="3">
        <v>92225800</v>
      </c>
      <c r="W171" s="3">
        <v>-3115800</v>
      </c>
      <c r="X171" s="3">
        <v>-3.4</v>
      </c>
    </row>
    <row r="172" ht="12.75" hidden="1"/>
    <row r="173" spans="1:24" ht="12.75" hidden="1">
      <c r="A173" s="3" t="s">
        <v>103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3155000</v>
      </c>
      <c r="T173" s="3">
        <v>0</v>
      </c>
      <c r="U173" s="3">
        <v>3155000</v>
      </c>
      <c r="V173" s="3">
        <v>2600000</v>
      </c>
      <c r="W173" s="3">
        <v>555000</v>
      </c>
      <c r="X173" s="3">
        <v>21.3</v>
      </c>
    </row>
    <row r="174" spans="1:24" ht="12.75" hidden="1">
      <c r="A174" s="3" t="s">
        <v>104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5370000</v>
      </c>
      <c r="T174" s="3">
        <v>0</v>
      </c>
      <c r="U174" s="3">
        <v>5370000</v>
      </c>
      <c r="V174" s="3">
        <v>12710000</v>
      </c>
      <c r="W174" s="3">
        <v>-7340000</v>
      </c>
      <c r="X174" s="3">
        <v>-57.7</v>
      </c>
    </row>
    <row r="175" ht="12.75" hidden="1"/>
    <row r="176" spans="1:24" ht="12.75" hidden="1">
      <c r="A176" s="3" t="s">
        <v>105</v>
      </c>
      <c r="B176" s="3">
        <v>546903</v>
      </c>
      <c r="C176" s="3">
        <v>137715</v>
      </c>
      <c r="D176" s="3">
        <v>5223390</v>
      </c>
      <c r="E176" s="3">
        <v>1489641</v>
      </c>
      <c r="F176" s="3">
        <v>2404381</v>
      </c>
      <c r="G176" s="3">
        <v>1374414</v>
      </c>
      <c r="H176" s="3">
        <v>1004305</v>
      </c>
      <c r="I176" s="3">
        <v>5140694</v>
      </c>
      <c r="J176" s="3">
        <v>1383270</v>
      </c>
      <c r="K176" s="3">
        <v>3616240</v>
      </c>
      <c r="L176" s="3">
        <v>13249773</v>
      </c>
      <c r="M176" s="3">
        <v>696992</v>
      </c>
      <c r="N176" s="3">
        <v>13513640</v>
      </c>
      <c r="O176" s="3">
        <v>47809423</v>
      </c>
      <c r="P176" s="3">
        <v>81819936</v>
      </c>
      <c r="Q176" s="3">
        <v>84538212</v>
      </c>
      <c r="R176" s="3">
        <v>1524827</v>
      </c>
      <c r="S176" s="3">
        <v>112077373</v>
      </c>
      <c r="T176" s="3">
        <v>17109719</v>
      </c>
      <c r="U176" s="3">
        <v>394660848</v>
      </c>
      <c r="V176" s="3">
        <v>356499042</v>
      </c>
      <c r="W176" s="3">
        <v>38161806</v>
      </c>
      <c r="X176" s="3">
        <v>10.7</v>
      </c>
    </row>
  </sheetData>
  <sheetProtection/>
  <mergeCells count="2">
    <mergeCell ref="A6:X6"/>
    <mergeCell ref="A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dcterms:created xsi:type="dcterms:W3CDTF">2015-12-16T21:04:39Z</dcterms:created>
  <dcterms:modified xsi:type="dcterms:W3CDTF">2022-09-22T14:07:21Z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S23RUA2WJYU2-286-1842</vt:lpwstr>
  </property>
  <property fmtid="{D5CDD505-2E9C-101B-9397-08002B2CF9AE}" pid="4" name="_dlc_DocIdItemGu">
    <vt:lpwstr>8c0130fa-d64d-425f-808e-cde6f422f507</vt:lpwstr>
  </property>
  <property fmtid="{D5CDD505-2E9C-101B-9397-08002B2CF9AE}" pid="5" name="_dlc_DocIdU">
    <vt:lpwstr>http://wvprodshptweb01:8080/whatwedo/fin_invest_info/financial_Info/_layouts/DocIdRedir.aspx?ID=S23RUA2WJYU2-286-1842, S23RUA2WJYU2-286-1842</vt:lpwstr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pportunityTy">
    <vt:lpwstr>Consulting Services</vt:lpwstr>
  </property>
  <property fmtid="{D5CDD505-2E9C-101B-9397-08002B2CF9AE}" pid="9" name="PublishingContactPictu">
    <vt:lpwstr/>
  </property>
  <property fmtid="{D5CDD505-2E9C-101B-9397-08002B2CF9AE}" pid="10" name="PublishingContactNa">
    <vt:lpwstr/>
  </property>
  <property fmtid="{D5CDD505-2E9C-101B-9397-08002B2CF9AE}" pid="11" name="Commen">
    <vt:lpwstr/>
  </property>
  <property fmtid="{D5CDD505-2E9C-101B-9397-08002B2CF9AE}" pid="12" name="PublishingContactEma">
    <vt:lpwstr/>
  </property>
</Properties>
</file>