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activeTab="0"/>
  </bookViews>
  <sheets>
    <sheet name="OMF by Acct" sheetId="1" r:id="rId1"/>
    <sheet name="All Funds" sheetId="2" r:id="rId2"/>
  </sheets>
  <externalReferences>
    <externalReference r:id="rId5"/>
  </externalReferences>
  <definedNames>
    <definedName name="_xlnm.Print_Area" localSheetId="1">'All Funds'!$A$2:$U$86</definedName>
    <definedName name="_xlnm.Print_Area" localSheetId="0">'OMF by Acct'!$B$2:$V$74</definedName>
    <definedName name="_xlnm.Print_Titles" localSheetId="1">'All Funds'!$A:$A</definedName>
    <definedName name="_xlnm.Print_Titles" localSheetId="0">'OMF by Acct'!$B:$B,'OMF by Acct'!$10:$10</definedName>
  </definedNames>
  <calcPr fullCalcOnLoad="1"/>
</workbook>
</file>

<file path=xl/sharedStrings.xml><?xml version="1.0" encoding="utf-8"?>
<sst xmlns="http://schemas.openxmlformats.org/spreadsheetml/2006/main" count="181" uniqueCount="105">
  <si>
    <t>Account</t>
  </si>
  <si>
    <t>Accounting</t>
  </si>
  <si>
    <t>Administration</t>
  </si>
  <si>
    <t>Board</t>
  </si>
  <si>
    <t>Human Resources</t>
  </si>
  <si>
    <t>Internal Audit</t>
  </si>
  <si>
    <t>Legal Services</t>
  </si>
  <si>
    <t>Procurement and Business Diversity</t>
  </si>
  <si>
    <t>Public Affairs</t>
  </si>
  <si>
    <t>Shared Services</t>
  </si>
  <si>
    <t>Treasury Management</t>
  </si>
  <si>
    <t>Contact Center and Collections</t>
  </si>
  <si>
    <t>Information Technology</t>
  </si>
  <si>
    <t>Maintenance</t>
  </si>
  <si>
    <t>Operations</t>
  </si>
  <si>
    <t>Project Delivery</t>
  </si>
  <si>
    <t>Traffic &amp; Incident Mgmt</t>
  </si>
  <si>
    <t>FY2020
Budget</t>
  </si>
  <si>
    <t>FY2019
Budget</t>
  </si>
  <si>
    <t>Increase or (Decrease) Amount</t>
  </si>
  <si>
    <t>Increase or (Decrease) Percent</t>
  </si>
  <si>
    <t>511101-Salaries and Wages-Direct</t>
  </si>
  <si>
    <t>511202-Salaries and Wages-Internship</t>
  </si>
  <si>
    <t>511301-Salaries and Wage-Overtime</t>
  </si>
  <si>
    <t>512101-Group Insurance</t>
  </si>
  <si>
    <t>512401-Retirement Contributions</t>
  </si>
  <si>
    <t>512402-Retirement Contr.-Internship</t>
  </si>
  <si>
    <t>512501-Tuition Reimbursement</t>
  </si>
  <si>
    <t>512601-Unemployment Insurance</t>
  </si>
  <si>
    <t>512602-OPEB Annual Req'd Contribution</t>
  </si>
  <si>
    <t>512701-Worker's Comp Ins</t>
  </si>
  <si>
    <t>Salaries &amp; Benefits</t>
  </si>
  <si>
    <t>521201-Consulting/Professional</t>
  </si>
  <si>
    <t>521202-Legal Fees</t>
  </si>
  <si>
    <t>521203-Auditing Fees</t>
  </si>
  <si>
    <t>521204-Trustee Fees</t>
  </si>
  <si>
    <t>521207-Traffic Engineering Fees</t>
  </si>
  <si>
    <t>521208-Police Services (DPS)</t>
  </si>
  <si>
    <t>521209-Armored Car Services</t>
  </si>
  <si>
    <t>523301-Recruitment</t>
  </si>
  <si>
    <t>523851-Temporary Contract Labor</t>
  </si>
  <si>
    <t>Consulting &amp; Professional Services</t>
  </si>
  <si>
    <t>521212-Outside Maintenance Services</t>
  </si>
  <si>
    <t>522202-Landscaping</t>
  </si>
  <si>
    <t>522301-Rentals - Land</t>
  </si>
  <si>
    <t>522302-Rentals - Equipment</t>
  </si>
  <si>
    <t>523801-Licenses</t>
  </si>
  <si>
    <t>531102-Other Materials and Supplies</t>
  </si>
  <si>
    <t>531107-Motor Fuel Expense</t>
  </si>
  <si>
    <t>531211-Water</t>
  </si>
  <si>
    <t>531221-Gas</t>
  </si>
  <si>
    <t>531231-Electricity</t>
  </si>
  <si>
    <t>531601-Small Tools and Shop Supplies</t>
  </si>
  <si>
    <t>531701-Uniforms</t>
  </si>
  <si>
    <t>523201-Postage</t>
  </si>
  <si>
    <t>523202-Telecommunications</t>
  </si>
  <si>
    <t>523701-Education and Training</t>
  </si>
  <si>
    <t>531103-Mobile Equipment Expense</t>
  </si>
  <si>
    <t>531501-Inven for resale(toll tags)</t>
  </si>
  <si>
    <t>531651-Software</t>
  </si>
  <si>
    <t>573002-Credit Card Fees</t>
  </si>
  <si>
    <t>523203-Public Information Fees</t>
  </si>
  <si>
    <t>523302-Magazine and Newspaper</t>
  </si>
  <si>
    <t>523303-Television &amp; Radio</t>
  </si>
  <si>
    <t>523304-Promotional Expenses</t>
  </si>
  <si>
    <t>523401-Printing and Photographic</t>
  </si>
  <si>
    <t>523402-Maps &amp; Pamphlets</t>
  </si>
  <si>
    <t>Business &amp; Marketing</t>
  </si>
  <si>
    <t>521101-Meeting Expense</t>
  </si>
  <si>
    <t>523101-Insurance Expense - Other</t>
  </si>
  <si>
    <t>523305-Employee Appreciation</t>
  </si>
  <si>
    <t>523501-Travel</t>
  </si>
  <si>
    <t>523601-Dues &amp; Subscriptions</t>
  </si>
  <si>
    <t>523902-Liability Claims</t>
  </si>
  <si>
    <t>531101-Office Supplies</t>
  </si>
  <si>
    <t>531105-Freight and Express</t>
  </si>
  <si>
    <t>531401-Books &amp; Periodicals</t>
  </si>
  <si>
    <t>573001-Bank Charges</t>
  </si>
  <si>
    <t>Administrative</t>
  </si>
  <si>
    <t>Totals</t>
  </si>
  <si>
    <t>Increase or
(Decrease)
Amount</t>
  </si>
  <si>
    <t>Increase or
(Decrease)
Percent</t>
  </si>
  <si>
    <t>521205-Rating Agency Fees</t>
  </si>
  <si>
    <t>521206-Remarketing/Loc Provider Fees</t>
  </si>
  <si>
    <t>521213-General Engineering</t>
  </si>
  <si>
    <t>521301-Consulting/Profess Serv Tech</t>
  </si>
  <si>
    <t>522203-Signing Expense</t>
  </si>
  <si>
    <t>522204-Pavement Markings</t>
  </si>
  <si>
    <t>522205-Pavement &amp; Shoulders</t>
  </si>
  <si>
    <t>522206-Bridge Repairs</t>
  </si>
  <si>
    <t xml:space="preserve"> </t>
  </si>
  <si>
    <t>531106-Electronic Supplies</t>
  </si>
  <si>
    <t>531611-Machinery</t>
  </si>
  <si>
    <t>531621-Vehicles</t>
  </si>
  <si>
    <t>531641-Computers</t>
  </si>
  <si>
    <t>541302-Building Improvements</t>
  </si>
  <si>
    <t>541401-Infrastructure Rdway/Hwy/Bridg</t>
  </si>
  <si>
    <t>541403-Infrastructure-Other</t>
  </si>
  <si>
    <t>173003-Right of Way (06)</t>
  </si>
  <si>
    <t>173005-Administration (01)</t>
  </si>
  <si>
    <t>173005-Planning (02)</t>
  </si>
  <si>
    <t>173005-Design (03)</t>
  </si>
  <si>
    <t>176001-Construction</t>
  </si>
  <si>
    <t>176001-Equipment/Hardware (05)</t>
  </si>
  <si>
    <t>176001-Utility Relo (07)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</si>
</sst>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ccount&quot;"/>
    <numFmt numFmtId="165" formatCode="#,##0;&quot;-&quot;#,##0"/>
    <numFmt numFmtId="166" formatCode="#,##0;&quot;(&quot;#,##0&quot;)&quot;"/>
    <numFmt numFmtId="167" formatCode="&quot;$&quot;#,##0;&quot;($&quot;#,##0&quot;)&quot;"/>
    <numFmt numFmtId="168" formatCode="0.0%_);[Red]\ \ \(0.0%\)"/>
    <numFmt numFmtId="169" formatCode="_(* #,##0_);[Red]_(* \(#,##0\);_(* &quot;-&quot;_);_(@_)"/>
    <numFmt numFmtId="170" formatCode="_(* #,##0_);_(* \(#,##0\);_(* &quot;-&quot;??_);_(@_)"/>
    <numFmt numFmtId="171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Microsoft Sans Serif"/>
      <family val="2"/>
    </font>
    <font>
      <b/>
      <sz val="8"/>
      <name val="Microsoft Sans Serif"/>
      <family val="2"/>
    </font>
    <font>
      <sz val="8"/>
      <name val="Calibri"/>
      <family val="2"/>
    </font>
    <font>
      <sz val="8"/>
      <name val="Microsoft Sans Serif"/>
      <family val="2"/>
    </font>
    <font>
      <sz val="8"/>
      <color indexed="8"/>
      <name val="Microsoft Sans Serif"/>
      <family val="2"/>
    </font>
    <font>
      <b/>
      <sz val="8"/>
      <color indexed="10"/>
      <name val="Microsoft Sans Serif"/>
      <family val="2"/>
    </font>
    <font>
      <b/>
      <sz val="8"/>
      <color indexed="8"/>
      <name val="Microsoft Sans Serif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color indexed="8"/>
      <name val="MS Sans Se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FF0000"/>
      <name val="Microsoft Sans Serif"/>
      <family val="2"/>
    </font>
    <font>
      <b/>
      <sz val="8"/>
      <color rgb="FF000000"/>
      <name val="Microsoft Sans Serif"/>
      <family val="2"/>
    </font>
    <font>
      <sz val="10"/>
      <color theme="1"/>
      <name val="Calibri"/>
      <family val="2"/>
    </font>
    <font>
      <sz val="10"/>
      <color theme="1"/>
      <name val="Cambria"/>
      <family val="1"/>
    </font>
    <font>
      <b/>
      <sz val="10"/>
      <color rgb="FF000000"/>
      <name val="Cambria"/>
      <family val="1"/>
    </font>
    <font>
      <sz val="10"/>
      <color rgb="FF00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double">
        <color rgb="FF000000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9" fillId="33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0" fillId="33" borderId="0" xfId="0" applyFill="1" applyAlignment="1">
      <alignment wrapText="1"/>
    </xf>
    <xf numFmtId="164" fontId="4" fillId="0" borderId="0" xfId="0" applyNumberFormat="1" applyFont="1" applyFill="1" applyBorder="1" applyAlignment="1" quotePrefix="1">
      <alignment horizontal="left"/>
    </xf>
    <xf numFmtId="165" fontId="4" fillId="0" borderId="0" xfId="0" applyNumberFormat="1" applyFont="1" applyFill="1" applyBorder="1" applyAlignment="1" quotePrefix="1">
      <alignment horizontal="center" wrapText="1"/>
    </xf>
    <xf numFmtId="165" fontId="4" fillId="35" borderId="0" xfId="0" applyNumberFormat="1" applyFont="1" applyFill="1" applyBorder="1" applyAlignment="1" quotePrefix="1">
      <alignment horizontal="right" wrapText="1"/>
    </xf>
    <xf numFmtId="165" fontId="4" fillId="0" borderId="0" xfId="0" applyNumberFormat="1" applyFont="1" applyFill="1" applyBorder="1" applyAlignment="1" quotePrefix="1">
      <alignment horizontal="right" wrapText="1"/>
    </xf>
    <xf numFmtId="165" fontId="4" fillId="0" borderId="0" xfId="0" applyNumberFormat="1" applyFont="1" applyFill="1" applyBorder="1" applyAlignment="1" quotePrefix="1">
      <alignment horizontal="right" vertical="top" wrapText="1"/>
    </xf>
    <xf numFmtId="0" fontId="5" fillId="0" borderId="0" xfId="0" applyFont="1" applyFill="1" applyBorder="1" applyAlignment="1">
      <alignment/>
    </xf>
    <xf numFmtId="165" fontId="6" fillId="33" borderId="10" xfId="0" applyNumberFormat="1" applyFont="1" applyFill="1" applyBorder="1" applyAlignment="1">
      <alignment horizontal="left"/>
    </xf>
    <xf numFmtId="166" fontId="6" fillId="33" borderId="10" xfId="0" applyNumberFormat="1" applyFont="1" applyFill="1" applyBorder="1" applyAlignment="1">
      <alignment horizontal="right"/>
    </xf>
    <xf numFmtId="166" fontId="50" fillId="33" borderId="10" xfId="0" applyNumberFormat="1" applyFont="1" applyFill="1" applyBorder="1" applyAlignment="1">
      <alignment horizontal="right"/>
    </xf>
    <xf numFmtId="165" fontId="6" fillId="33" borderId="0" xfId="0" applyNumberFormat="1" applyFont="1" applyFill="1" applyAlignment="1" quotePrefix="1">
      <alignment horizontal="left"/>
    </xf>
    <xf numFmtId="167" fontId="6" fillId="33" borderId="0" xfId="0" applyNumberFormat="1" applyFont="1" applyFill="1" applyAlignment="1">
      <alignment horizontal="right"/>
    </xf>
    <xf numFmtId="167" fontId="50" fillId="33" borderId="0" xfId="0" applyNumberFormat="1" applyFont="1" applyFill="1" applyAlignment="1">
      <alignment horizontal="right"/>
    </xf>
    <xf numFmtId="6" fontId="50" fillId="33" borderId="0" xfId="0" applyNumberFormat="1" applyFont="1" applyFill="1" applyAlignment="1">
      <alignment horizontal="right"/>
    </xf>
    <xf numFmtId="168" fontId="50" fillId="33" borderId="0" xfId="57" applyNumberFormat="1" applyFont="1" applyFill="1" applyAlignment="1">
      <alignment horizontal="right"/>
    </xf>
    <xf numFmtId="166" fontId="6" fillId="33" borderId="0" xfId="0" applyNumberFormat="1" applyFont="1" applyFill="1" applyAlignment="1">
      <alignment horizontal="right"/>
    </xf>
    <xf numFmtId="166" fontId="50" fillId="33" borderId="0" xfId="0" applyNumberFormat="1" applyFont="1" applyFill="1" applyAlignment="1">
      <alignment horizontal="right"/>
    </xf>
    <xf numFmtId="169" fontId="50" fillId="33" borderId="0" xfId="0" applyNumberFormat="1" applyFont="1" applyFill="1" applyAlignment="1">
      <alignment horizontal="right"/>
    </xf>
    <xf numFmtId="38" fontId="6" fillId="33" borderId="0" xfId="0" applyNumberFormat="1" applyFont="1" applyFill="1" applyAlignment="1">
      <alignment horizontal="right"/>
    </xf>
    <xf numFmtId="165" fontId="4" fillId="2" borderId="0" xfId="0" applyNumberFormat="1" applyFont="1" applyFill="1" applyAlignment="1" quotePrefix="1">
      <alignment horizontal="left"/>
    </xf>
    <xf numFmtId="166" fontId="4" fillId="2" borderId="0" xfId="0" applyNumberFormat="1" applyFont="1" applyFill="1" applyAlignment="1">
      <alignment horizontal="right"/>
    </xf>
    <xf numFmtId="169" fontId="4" fillId="2" borderId="0" xfId="0" applyNumberFormat="1" applyFont="1" applyFill="1" applyAlignment="1">
      <alignment horizontal="right"/>
    </xf>
    <xf numFmtId="168" fontId="51" fillId="2" borderId="0" xfId="57" applyNumberFormat="1" applyFont="1" applyFill="1" applyAlignment="1">
      <alignment horizontal="right"/>
    </xf>
    <xf numFmtId="0" fontId="47" fillId="2" borderId="0" xfId="0" applyFont="1" applyFill="1" applyAlignment="1">
      <alignment/>
    </xf>
    <xf numFmtId="166" fontId="0" fillId="34" borderId="0" xfId="0" applyNumberFormat="1" applyFill="1" applyAlignment="1">
      <alignment/>
    </xf>
    <xf numFmtId="165" fontId="6" fillId="0" borderId="0" xfId="0" applyNumberFormat="1" applyFont="1" applyFill="1" applyAlignment="1" quotePrefix="1">
      <alignment horizontal="left"/>
    </xf>
    <xf numFmtId="0" fontId="0" fillId="2" borderId="0" xfId="0" applyFill="1" applyAlignment="1">
      <alignment/>
    </xf>
    <xf numFmtId="165" fontId="4" fillId="33" borderId="0" xfId="0" applyNumberFormat="1" applyFont="1" applyFill="1" applyAlignment="1">
      <alignment horizontal="left" vertical="center"/>
    </xf>
    <xf numFmtId="165" fontId="4" fillId="33" borderId="0" xfId="0" applyNumberFormat="1" applyFont="1" applyFill="1" applyAlignment="1">
      <alignment horizontal="right" vertical="center"/>
    </xf>
    <xf numFmtId="165" fontId="52" fillId="33" borderId="0" xfId="0" applyNumberFormat="1" applyFont="1" applyFill="1" applyAlignment="1">
      <alignment horizontal="right" vertical="center"/>
    </xf>
    <xf numFmtId="168" fontId="52" fillId="33" borderId="0" xfId="57" applyNumberFormat="1" applyFont="1" applyFill="1" applyAlignment="1">
      <alignment horizontal="right" vertical="center"/>
    </xf>
    <xf numFmtId="167" fontId="4" fillId="33" borderId="11" xfId="0" applyNumberFormat="1" applyFont="1" applyFill="1" applyBorder="1" applyAlignment="1" quotePrefix="1">
      <alignment horizontal="left" vertical="center"/>
    </xf>
    <xf numFmtId="167" fontId="4" fillId="33" borderId="11" xfId="0" applyNumberFormat="1" applyFont="1" applyFill="1" applyBorder="1" applyAlignment="1">
      <alignment horizontal="right" vertical="center"/>
    </xf>
    <xf numFmtId="168" fontId="4" fillId="33" borderId="11" xfId="57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67" fontId="0" fillId="0" borderId="0" xfId="0" applyNumberFormat="1" applyFill="1" applyAlignment="1">
      <alignment wrapText="1"/>
    </xf>
    <xf numFmtId="167" fontId="0" fillId="34" borderId="0" xfId="0" applyNumberFormat="1" applyFill="1" applyAlignment="1">
      <alignment/>
    </xf>
    <xf numFmtId="0" fontId="53" fillId="34" borderId="0" xfId="0" applyFont="1" applyFill="1" applyAlignment="1">
      <alignment/>
    </xf>
    <xf numFmtId="0" fontId="54" fillId="34" borderId="0" xfId="0" applyFont="1" applyFill="1" applyAlignment="1">
      <alignment/>
    </xf>
    <xf numFmtId="0" fontId="55" fillId="33" borderId="0" xfId="0" applyFont="1" applyFill="1" applyAlignment="1">
      <alignment vertical="top" wrapText="1"/>
    </xf>
    <xf numFmtId="0" fontId="54" fillId="33" borderId="0" xfId="0" applyFont="1" applyFill="1" applyAlignment="1">
      <alignment wrapText="1"/>
    </xf>
    <xf numFmtId="0" fontId="54" fillId="33" borderId="0" xfId="0" applyFont="1" applyFill="1" applyAlignment="1">
      <alignment/>
    </xf>
    <xf numFmtId="0" fontId="54" fillId="0" borderId="0" xfId="0" applyFont="1" applyFill="1" applyAlignment="1">
      <alignment/>
    </xf>
    <xf numFmtId="170" fontId="54" fillId="33" borderId="0" xfId="42" applyNumberFormat="1" applyFont="1" applyFill="1" applyAlignment="1">
      <alignment/>
    </xf>
    <xf numFmtId="165" fontId="55" fillId="33" borderId="12" xfId="0" applyNumberFormat="1" applyFont="1" applyFill="1" applyBorder="1" applyAlignment="1">
      <alignment horizontal="left"/>
    </xf>
    <xf numFmtId="165" fontId="15" fillId="35" borderId="12" xfId="0" applyNumberFormat="1" applyFont="1" applyFill="1" applyBorder="1" applyAlignment="1" quotePrefix="1">
      <alignment horizontal="center" wrapText="1"/>
    </xf>
    <xf numFmtId="0" fontId="16" fillId="0" borderId="0" xfId="0" applyFont="1" applyFill="1" applyBorder="1" applyAlignment="1">
      <alignment wrapText="1"/>
    </xf>
    <xf numFmtId="165" fontId="56" fillId="33" borderId="0" xfId="0" applyNumberFormat="1" applyFont="1" applyFill="1" applyAlignment="1" quotePrefix="1">
      <alignment horizontal="left"/>
    </xf>
    <xf numFmtId="167" fontId="56" fillId="35" borderId="0" xfId="0" applyNumberFormat="1" applyFont="1" applyFill="1" applyAlignment="1">
      <alignment horizontal="right"/>
    </xf>
    <xf numFmtId="166" fontId="56" fillId="35" borderId="0" xfId="0" applyNumberFormat="1" applyFont="1" applyFill="1" applyAlignment="1">
      <alignment horizontal="right"/>
    </xf>
    <xf numFmtId="168" fontId="56" fillId="35" borderId="0" xfId="0" applyNumberFormat="1" applyFont="1" applyFill="1" applyAlignment="1">
      <alignment horizontal="right"/>
    </xf>
    <xf numFmtId="38" fontId="54" fillId="35" borderId="0" xfId="42" applyNumberFormat="1" applyFont="1" applyFill="1" applyAlignment="1">
      <alignment horizontal="right"/>
    </xf>
    <xf numFmtId="165" fontId="55" fillId="33" borderId="0" xfId="0" applyNumberFormat="1" applyFont="1" applyFill="1" applyAlignment="1">
      <alignment horizontal="left" vertical="center"/>
    </xf>
    <xf numFmtId="165" fontId="55" fillId="35" borderId="0" xfId="0" applyNumberFormat="1" applyFont="1" applyFill="1" applyAlignment="1">
      <alignment horizontal="right" vertical="center"/>
    </xf>
    <xf numFmtId="167" fontId="55" fillId="33" borderId="11" xfId="0" applyNumberFormat="1" applyFont="1" applyFill="1" applyBorder="1" applyAlignment="1" quotePrefix="1">
      <alignment horizontal="left" vertical="center"/>
    </xf>
    <xf numFmtId="167" fontId="55" fillId="35" borderId="11" xfId="0" applyNumberFormat="1" applyFont="1" applyFill="1" applyBorder="1" applyAlignment="1">
      <alignment horizontal="right" vertical="center"/>
    </xf>
    <xf numFmtId="171" fontId="55" fillId="35" borderId="11" xfId="57" applyNumberFormat="1" applyFont="1" applyFill="1" applyBorder="1" applyAlignment="1">
      <alignment horizontal="right" vertical="center"/>
    </xf>
    <xf numFmtId="0" fontId="56" fillId="33" borderId="0" xfId="0" applyFont="1" applyFill="1" applyAlignment="1">
      <alignment wrapText="1"/>
    </xf>
    <xf numFmtId="0" fontId="54" fillId="35" borderId="0" xfId="0" applyFont="1" applyFill="1" applyAlignment="1">
      <alignment/>
    </xf>
    <xf numFmtId="167" fontId="54" fillId="35" borderId="0" xfId="0" applyNumberFormat="1" applyFont="1" applyFill="1" applyAlignment="1">
      <alignment/>
    </xf>
    <xf numFmtId="167" fontId="54" fillId="33" borderId="0" xfId="0" applyNumberFormat="1" applyFont="1" applyFill="1" applyAlignment="1">
      <alignment/>
    </xf>
    <xf numFmtId="0" fontId="54" fillId="33" borderId="0" xfId="0" applyFont="1" applyFill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\images\spacer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\images\space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990600</xdr:colOff>
      <xdr:row>1</xdr:row>
      <xdr:rowOff>76200</xdr:rowOff>
    </xdr:from>
    <xdr:ext cx="2971800" cy="523875"/>
    <xdr:sp>
      <xdr:nvSpPr>
        <xdr:cNvPr id="1" name="Text Box 2"/>
        <xdr:cNvSpPr txBox="1">
          <a:spLocks noChangeArrowheads="1"/>
        </xdr:cNvSpPr>
      </xdr:nvSpPr>
      <xdr:spPr>
        <a:xfrm>
          <a:off x="1200150" y="266700"/>
          <a:ext cx="297180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North Texas Tollway Authority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Operation and Maintenance Fund Budget by Account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FY2020</a:t>
          </a:r>
        </a:p>
      </xdr:txBody>
    </xdr:sp>
    <xdr:clientData/>
  </xdr:oneCellAnchor>
  <xdr:twoCellAnchor editAs="oneCell">
    <xdr:from>
      <xdr:col>1</xdr:col>
      <xdr:colOff>0</xdr:colOff>
      <xdr:row>73</xdr:row>
      <xdr:rowOff>0</xdr:rowOff>
    </xdr:from>
    <xdr:to>
      <xdr:col>1</xdr:col>
      <xdr:colOff>9525</xdr:colOff>
      <xdr:row>73</xdr:row>
      <xdr:rowOff>9525</xdr:rowOff>
    </xdr:to>
    <xdr:pic>
      <xdr:nvPicPr>
        <xdr:cNvPr id="2" name="Picture 6" descr="../images/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9550" y="1116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1</xdr:row>
      <xdr:rowOff>85725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0</xdr:col>
      <xdr:colOff>1581150</xdr:colOff>
      <xdr:row>1</xdr:row>
      <xdr:rowOff>85725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0"/>
          <a:ext cx="981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0</xdr:row>
      <xdr:rowOff>0</xdr:rowOff>
    </xdr:from>
    <xdr:to>
      <xdr:col>0</xdr:col>
      <xdr:colOff>2190750</xdr:colOff>
      <xdr:row>1</xdr:row>
      <xdr:rowOff>85725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9675" y="0"/>
          <a:ext cx="981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4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1363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5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1363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647700</xdr:colOff>
      <xdr:row>2</xdr:row>
      <xdr:rowOff>9525</xdr:rowOff>
    </xdr:from>
    <xdr:ext cx="1676400" cy="495300"/>
    <xdr:sp>
      <xdr:nvSpPr>
        <xdr:cNvPr id="6" name="Text Box 2"/>
        <xdr:cNvSpPr txBox="1">
          <a:spLocks noChangeArrowheads="1"/>
        </xdr:cNvSpPr>
      </xdr:nvSpPr>
      <xdr:spPr>
        <a:xfrm>
          <a:off x="647700" y="333375"/>
          <a:ext cx="16764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North Texas Tollway Authority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All Funds Budget by Account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FY2020</a:t>
          </a:r>
        </a:p>
      </xdr:txBody>
    </xdr:sp>
    <xdr:clientData/>
  </xdr:one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7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1363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8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14439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9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14439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Treasury\Budget\Budget%20Preparation\Budget\Budget%202019\2%20Budget%20Overview\OMF%20by%20Account%20Categoryv3reor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F by Acct Category"/>
      <sheetName val="OMF by Acct"/>
    </sheetNames>
    <sheetDataSet>
      <sheetData sheetId="1">
        <row r="76">
          <cell r="T76">
            <v>192780000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79"/>
  <sheetViews>
    <sheetView showGridLines="0" tabSelected="1" zoomScale="120" zoomScaleNormal="120" zoomScalePageLayoutView="0" workbookViewId="0" topLeftCell="A1">
      <pane xSplit="2" ySplit="11" topLeftCell="C4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L29" sqref="L29"/>
    </sheetView>
  </sheetViews>
  <sheetFormatPr defaultColWidth="9.140625" defaultRowHeight="15" outlineLevelRow="1"/>
  <cols>
    <col min="1" max="1" width="3.140625" style="2" customWidth="1"/>
    <col min="2" max="2" width="31.140625" style="2" bestFit="1" customWidth="1"/>
    <col min="3" max="4" width="12.28125" style="2" customWidth="1"/>
    <col min="5" max="5" width="8.57421875" style="2" customWidth="1"/>
    <col min="6" max="7" width="10.140625" style="2" customWidth="1"/>
    <col min="8" max="8" width="12.140625" style="2" customWidth="1"/>
    <col min="9" max="9" width="11.7109375" style="2" customWidth="1"/>
    <col min="10" max="10" width="12.421875" style="2" customWidth="1"/>
    <col min="11" max="11" width="12.28125" style="2" customWidth="1"/>
    <col min="12" max="12" width="12.421875" style="2" customWidth="1"/>
    <col min="13" max="15" width="11.140625" style="2" customWidth="1"/>
    <col min="16" max="16" width="12.7109375" style="2" customWidth="1" collapsed="1"/>
    <col min="17" max="17" width="12.421875" style="2" customWidth="1"/>
    <col min="18" max="18" width="12.28125" style="2" customWidth="1"/>
    <col min="19" max="19" width="12.00390625" style="2" customWidth="1"/>
    <col min="20" max="20" width="12.8515625" style="2" bestFit="1" customWidth="1"/>
    <col min="21" max="21" width="12.140625" style="2" bestFit="1" customWidth="1"/>
    <col min="22" max="22" width="11.57421875" style="2" customWidth="1"/>
    <col min="23" max="16384" width="9.140625" style="2" customWidth="1"/>
  </cols>
  <sheetData>
    <row r="2" spans="2:22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68"/>
      <c r="V2" s="68"/>
    </row>
    <row r="3" spans="2:22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68"/>
      <c r="V3" s="68"/>
    </row>
    <row r="4" spans="2:22" ht="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68"/>
      <c r="V4" s="68"/>
    </row>
    <row r="5" spans="2:22" ht="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68"/>
      <c r="V5" s="68"/>
    </row>
    <row r="6" spans="2:22" ht="14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68"/>
      <c r="V6" s="68"/>
    </row>
    <row r="7" spans="2:22" ht="14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68"/>
      <c r="V7" s="68"/>
    </row>
    <row r="8" spans="2:20" ht="12.7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ht="14.25" hidden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2:22" s="9" customFormat="1" ht="33.75" customHeight="1">
      <c r="B10" s="4" t="s">
        <v>0</v>
      </c>
      <c r="C10" s="5" t="s">
        <v>1</v>
      </c>
      <c r="D10" s="5" t="s">
        <v>2</v>
      </c>
      <c r="E10" s="5" t="s">
        <v>3</v>
      </c>
      <c r="F10" s="5" t="s">
        <v>4</v>
      </c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5" t="s">
        <v>10</v>
      </c>
      <c r="M10" s="5" t="s">
        <v>11</v>
      </c>
      <c r="N10" s="5" t="s">
        <v>12</v>
      </c>
      <c r="O10" s="5" t="s">
        <v>13</v>
      </c>
      <c r="P10" s="5" t="s">
        <v>14</v>
      </c>
      <c r="Q10" s="5" t="s">
        <v>15</v>
      </c>
      <c r="R10" s="5" t="s">
        <v>16</v>
      </c>
      <c r="S10" s="5" t="s">
        <v>17</v>
      </c>
      <c r="T10" s="6" t="s">
        <v>18</v>
      </c>
      <c r="U10" s="7" t="s">
        <v>19</v>
      </c>
      <c r="V10" s="8" t="s">
        <v>20</v>
      </c>
    </row>
    <row r="11" spans="2:22" ht="3" customHeight="1" thickBot="1"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2"/>
      <c r="M11" s="11"/>
      <c r="N11" s="11"/>
      <c r="O11" s="11"/>
      <c r="P11" s="11"/>
      <c r="Q11" s="11"/>
      <c r="R11" s="12"/>
      <c r="S11" s="12"/>
      <c r="T11" s="12"/>
      <c r="U11" s="12"/>
      <c r="V11" s="12"/>
    </row>
    <row r="12" spans="2:22" ht="12" customHeight="1" outlineLevel="1">
      <c r="B12" s="13" t="s">
        <v>21</v>
      </c>
      <c r="C12" s="14">
        <v>1485561</v>
      </c>
      <c r="D12" s="14">
        <v>387450</v>
      </c>
      <c r="E12" s="14">
        <v>85913</v>
      </c>
      <c r="F12" s="14">
        <v>1096115</v>
      </c>
      <c r="G12" s="14">
        <v>770543</v>
      </c>
      <c r="H12" s="14">
        <v>813340</v>
      </c>
      <c r="I12" s="14">
        <v>1500924</v>
      </c>
      <c r="J12" s="14">
        <v>1515903</v>
      </c>
      <c r="K12" s="15">
        <v>0</v>
      </c>
      <c r="L12" s="15">
        <v>990605</v>
      </c>
      <c r="M12" s="14">
        <v>9908670.5</v>
      </c>
      <c r="N12" s="14">
        <v>8022436</v>
      </c>
      <c r="O12" s="14">
        <v>8653520</v>
      </c>
      <c r="P12" s="14">
        <v>996108</v>
      </c>
      <c r="Q12" s="14">
        <v>2480897</v>
      </c>
      <c r="R12" s="14">
        <v>5776626</v>
      </c>
      <c r="S12" s="15">
        <f aca="true" t="shared" si="0" ref="S12:S21">SUM(C12:R12)</f>
        <v>44484611.5</v>
      </c>
      <c r="T12" s="15">
        <v>43024410</v>
      </c>
      <c r="U12" s="16">
        <f>S12-T12</f>
        <v>1460201.5</v>
      </c>
      <c r="V12" s="17">
        <f aca="true" t="shared" si="1" ref="V12:V21">IF(T12=0,100%,U12/T12)</f>
        <v>0.03393890816864194</v>
      </c>
    </row>
    <row r="13" spans="2:22" ht="12" customHeight="1" outlineLevel="1">
      <c r="B13" s="13" t="s">
        <v>22</v>
      </c>
      <c r="C13" s="18">
        <v>0</v>
      </c>
      <c r="D13" s="18">
        <v>0</v>
      </c>
      <c r="E13" s="18">
        <v>0</v>
      </c>
      <c r="F13" s="18">
        <v>59165</v>
      </c>
      <c r="G13" s="18">
        <v>0</v>
      </c>
      <c r="H13" s="18">
        <v>146034</v>
      </c>
      <c r="I13" s="18">
        <v>0</v>
      </c>
      <c r="J13" s="18">
        <v>0</v>
      </c>
      <c r="K13" s="19">
        <v>0</v>
      </c>
      <c r="L13" s="19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9">
        <f t="shared" si="0"/>
        <v>205199</v>
      </c>
      <c r="T13" s="19">
        <v>175315</v>
      </c>
      <c r="U13" s="19">
        <f>S13-T13</f>
        <v>29884</v>
      </c>
      <c r="V13" s="17">
        <f t="shared" si="1"/>
        <v>0.17045888828679806</v>
      </c>
    </row>
    <row r="14" spans="2:22" ht="12" customHeight="1" outlineLevel="1">
      <c r="B14" s="13" t="s">
        <v>23</v>
      </c>
      <c r="C14" s="18">
        <v>559</v>
      </c>
      <c r="D14" s="18">
        <v>0</v>
      </c>
      <c r="E14" s="18">
        <v>0</v>
      </c>
      <c r="F14" s="18">
        <v>2396</v>
      </c>
      <c r="G14" s="18">
        <v>0</v>
      </c>
      <c r="H14" s="18">
        <v>0</v>
      </c>
      <c r="I14" s="18">
        <v>1958</v>
      </c>
      <c r="J14" s="18">
        <v>1562</v>
      </c>
      <c r="K14" s="19">
        <v>0</v>
      </c>
      <c r="L14" s="19">
        <v>0</v>
      </c>
      <c r="M14" s="18">
        <v>352152.5</v>
      </c>
      <c r="N14" s="18">
        <v>104574</v>
      </c>
      <c r="O14" s="18">
        <v>360010</v>
      </c>
      <c r="P14" s="18">
        <v>0</v>
      </c>
      <c r="Q14" s="18">
        <v>0</v>
      </c>
      <c r="R14" s="18">
        <v>23064</v>
      </c>
      <c r="S14" s="19">
        <f t="shared" si="0"/>
        <v>846275.5</v>
      </c>
      <c r="T14" s="19">
        <v>821176</v>
      </c>
      <c r="U14" s="20">
        <f aca="true" t="shared" si="2" ref="U14:U21">S14-T14</f>
        <v>25099.5</v>
      </c>
      <c r="V14" s="17">
        <f t="shared" si="1"/>
        <v>0.030565311212212728</v>
      </c>
    </row>
    <row r="15" spans="2:22" ht="12" customHeight="1" outlineLevel="1">
      <c r="B15" s="13" t="s">
        <v>24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9">
        <v>9296084</v>
      </c>
      <c r="L15" s="19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9">
        <f t="shared" si="0"/>
        <v>9296084</v>
      </c>
      <c r="T15" s="19">
        <v>8754657</v>
      </c>
      <c r="U15" s="20">
        <f t="shared" si="2"/>
        <v>541427</v>
      </c>
      <c r="V15" s="17">
        <f>IF(T15=0,100%,U15/T15)</f>
        <v>0.06184445604208137</v>
      </c>
    </row>
    <row r="16" spans="2:22" ht="12" customHeight="1" outlineLevel="1">
      <c r="B16" s="13" t="s">
        <v>25</v>
      </c>
      <c r="C16" s="18">
        <v>191806</v>
      </c>
      <c r="D16" s="18">
        <v>44155</v>
      </c>
      <c r="E16" s="18">
        <v>11137</v>
      </c>
      <c r="F16" s="18">
        <v>141583</v>
      </c>
      <c r="G16" s="18">
        <v>99496</v>
      </c>
      <c r="H16" s="18">
        <v>104674</v>
      </c>
      <c r="I16" s="18">
        <v>194583</v>
      </c>
      <c r="J16" s="18">
        <v>195764</v>
      </c>
      <c r="K16" s="19">
        <v>0</v>
      </c>
      <c r="L16" s="19">
        <v>128179</v>
      </c>
      <c r="M16" s="18">
        <v>1279621</v>
      </c>
      <c r="N16" s="18">
        <v>1037955</v>
      </c>
      <c r="O16" s="18">
        <v>1122321</v>
      </c>
      <c r="P16" s="18">
        <v>128162</v>
      </c>
      <c r="Q16" s="18">
        <v>321552</v>
      </c>
      <c r="R16" s="18">
        <v>748510</v>
      </c>
      <c r="S16" s="19">
        <f t="shared" si="0"/>
        <v>5749498</v>
      </c>
      <c r="T16" s="19">
        <v>5435206</v>
      </c>
      <c r="U16" s="20">
        <f t="shared" si="2"/>
        <v>314292</v>
      </c>
      <c r="V16" s="17">
        <f t="shared" si="1"/>
        <v>0.057825223183813085</v>
      </c>
    </row>
    <row r="17" spans="2:22" ht="12" customHeight="1" outlineLevel="1">
      <c r="B17" s="13" t="s">
        <v>26</v>
      </c>
      <c r="C17" s="18">
        <v>0</v>
      </c>
      <c r="D17" s="18">
        <v>0</v>
      </c>
      <c r="E17" s="18">
        <v>0</v>
      </c>
      <c r="F17" s="18">
        <v>7673.68</v>
      </c>
      <c r="G17" s="18">
        <v>0</v>
      </c>
      <c r="H17" s="18">
        <v>18940</v>
      </c>
      <c r="I17" s="21">
        <v>0</v>
      </c>
      <c r="J17" s="18">
        <v>0</v>
      </c>
      <c r="K17" s="19">
        <v>0</v>
      </c>
      <c r="L17" s="19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9">
        <f t="shared" si="0"/>
        <v>26613.68</v>
      </c>
      <c r="T17" s="19">
        <v>22230</v>
      </c>
      <c r="U17" s="20">
        <f t="shared" si="2"/>
        <v>4383.68</v>
      </c>
      <c r="V17" s="17">
        <f t="shared" si="1"/>
        <v>0.1971965811965812</v>
      </c>
    </row>
    <row r="18" spans="2:22" ht="12" customHeight="1" outlineLevel="1">
      <c r="B18" s="13" t="s">
        <v>27</v>
      </c>
      <c r="C18" s="18">
        <v>0</v>
      </c>
      <c r="D18" s="18">
        <v>0</v>
      </c>
      <c r="E18" s="18">
        <v>0</v>
      </c>
      <c r="F18" s="18">
        <v>31575</v>
      </c>
      <c r="G18" s="18">
        <v>0</v>
      </c>
      <c r="H18" s="18">
        <v>0</v>
      </c>
      <c r="I18" s="18">
        <v>0</v>
      </c>
      <c r="J18" s="18">
        <v>0</v>
      </c>
      <c r="K18" s="19">
        <v>0</v>
      </c>
      <c r="L18" s="19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9">
        <f t="shared" si="0"/>
        <v>31575</v>
      </c>
      <c r="T18" s="19">
        <v>31575</v>
      </c>
      <c r="U18" s="20">
        <f t="shared" si="2"/>
        <v>0</v>
      </c>
      <c r="V18" s="17">
        <f t="shared" si="1"/>
        <v>0</v>
      </c>
    </row>
    <row r="19" spans="2:22" ht="12" customHeight="1" outlineLevel="1">
      <c r="B19" s="13" t="s">
        <v>28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9">
        <v>127386</v>
      </c>
      <c r="L19" s="19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9">
        <f t="shared" si="0"/>
        <v>127386</v>
      </c>
      <c r="T19" s="19">
        <v>227386</v>
      </c>
      <c r="U19" s="20">
        <f t="shared" si="2"/>
        <v>-100000</v>
      </c>
      <c r="V19" s="17">
        <f t="shared" si="1"/>
        <v>-0.43978081324267987</v>
      </c>
    </row>
    <row r="20" spans="2:22" ht="12" customHeight="1" outlineLevel="1">
      <c r="B20" s="13" t="s">
        <v>29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9">
        <v>3100000</v>
      </c>
      <c r="L20" s="19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9">
        <f t="shared" si="0"/>
        <v>3100000</v>
      </c>
      <c r="T20" s="19">
        <v>3100000</v>
      </c>
      <c r="U20" s="20">
        <f t="shared" si="2"/>
        <v>0</v>
      </c>
      <c r="V20" s="17">
        <f t="shared" si="1"/>
        <v>0</v>
      </c>
    </row>
    <row r="21" spans="2:22" ht="12" customHeight="1" outlineLevel="1">
      <c r="B21" s="13" t="s">
        <v>30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9">
        <v>277761</v>
      </c>
      <c r="L21" s="19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9">
        <f t="shared" si="0"/>
        <v>277761</v>
      </c>
      <c r="T21" s="19">
        <v>327941</v>
      </c>
      <c r="U21" s="20">
        <f t="shared" si="2"/>
        <v>-50180</v>
      </c>
      <c r="V21" s="17">
        <f t="shared" si="1"/>
        <v>-0.15301532897685866</v>
      </c>
    </row>
    <row r="22" spans="2:22" s="26" customFormat="1" ht="12" customHeight="1" outlineLevel="1">
      <c r="B22" s="22" t="s">
        <v>31</v>
      </c>
      <c r="C22" s="23">
        <f aca="true" t="shared" si="3" ref="C22:R22">SUM(C12:C21)</f>
        <v>1677926</v>
      </c>
      <c r="D22" s="23">
        <f t="shared" si="3"/>
        <v>431605</v>
      </c>
      <c r="E22" s="23">
        <f t="shared" si="3"/>
        <v>97050</v>
      </c>
      <c r="F22" s="23">
        <f aca="true" t="shared" si="4" ref="F22:L22">SUM(F12:F21)</f>
        <v>1338507.68</v>
      </c>
      <c r="G22" s="23">
        <f t="shared" si="4"/>
        <v>870039</v>
      </c>
      <c r="H22" s="23">
        <f t="shared" si="4"/>
        <v>1082988</v>
      </c>
      <c r="I22" s="23">
        <f t="shared" si="4"/>
        <v>1697465</v>
      </c>
      <c r="J22" s="23">
        <f t="shared" si="4"/>
        <v>1713229</v>
      </c>
      <c r="K22" s="23">
        <f t="shared" si="4"/>
        <v>12801231</v>
      </c>
      <c r="L22" s="23">
        <f t="shared" si="4"/>
        <v>1118784</v>
      </c>
      <c r="M22" s="23">
        <f t="shared" si="3"/>
        <v>11540444</v>
      </c>
      <c r="N22" s="23">
        <f>SUM(N12:N21)</f>
        <v>9164965</v>
      </c>
      <c r="O22" s="23">
        <f t="shared" si="3"/>
        <v>10135851</v>
      </c>
      <c r="P22" s="23">
        <f t="shared" si="3"/>
        <v>1124270</v>
      </c>
      <c r="Q22" s="23">
        <f t="shared" si="3"/>
        <v>2802449</v>
      </c>
      <c r="R22" s="23">
        <f t="shared" si="3"/>
        <v>6548200</v>
      </c>
      <c r="S22" s="23">
        <f>SUM(S12:S21)</f>
        <v>64145003.68</v>
      </c>
      <c r="T22" s="23">
        <f>SUM(T12:T21)</f>
        <v>61919896</v>
      </c>
      <c r="U22" s="24">
        <f>SUM(U12:U21)</f>
        <v>2225107.68</v>
      </c>
      <c r="V22" s="25">
        <f>IF(T22=0,100%,U22/T22)</f>
        <v>0.03593526190677065</v>
      </c>
    </row>
    <row r="23" spans="2:23" ht="12" customHeight="1" outlineLevel="1">
      <c r="B23" s="13" t="s">
        <v>32</v>
      </c>
      <c r="C23" s="18">
        <v>1023</v>
      </c>
      <c r="D23" s="18">
        <v>173641</v>
      </c>
      <c r="E23" s="18">
        <v>0</v>
      </c>
      <c r="F23" s="18">
        <v>162551</v>
      </c>
      <c r="G23" s="18">
        <v>197763</v>
      </c>
      <c r="H23" s="18">
        <v>0</v>
      </c>
      <c r="I23" s="18">
        <v>2030</v>
      </c>
      <c r="J23" s="18">
        <f>2097752-290000</f>
        <v>1807752</v>
      </c>
      <c r="K23" s="19">
        <v>0</v>
      </c>
      <c r="L23" s="19">
        <v>359474</v>
      </c>
      <c r="M23" s="18">
        <v>8188485</v>
      </c>
      <c r="N23" s="18">
        <v>0</v>
      </c>
      <c r="O23" s="18">
        <v>200000</v>
      </c>
      <c r="P23" s="18">
        <v>0</v>
      </c>
      <c r="Q23" s="18">
        <v>20000</v>
      </c>
      <c r="R23" s="18">
        <v>52273</v>
      </c>
      <c r="S23" s="19">
        <f aca="true" t="shared" si="5" ref="S23:S31">SUM(C23:R23)</f>
        <v>11164992</v>
      </c>
      <c r="T23" s="19">
        <v>13195504</v>
      </c>
      <c r="U23" s="20">
        <f aca="true" t="shared" si="6" ref="U23:U31">S23-T23</f>
        <v>-2030512</v>
      </c>
      <c r="V23" s="17">
        <f aca="true" t="shared" si="7" ref="V23:V31">IF(T23=0,100%,U23/T23)</f>
        <v>-0.15387907881351104</v>
      </c>
      <c r="W23" s="27">
        <f>T23-13195504</f>
        <v>0</v>
      </c>
    </row>
    <row r="24" spans="2:22" ht="12" customHeight="1" outlineLevel="1">
      <c r="B24" s="13" t="s">
        <v>33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2086669</v>
      </c>
      <c r="I24" s="18">
        <v>0</v>
      </c>
      <c r="J24" s="18">
        <v>0</v>
      </c>
      <c r="K24" s="19">
        <v>0</v>
      </c>
      <c r="L24" s="19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9">
        <f t="shared" si="5"/>
        <v>2086669</v>
      </c>
      <c r="T24" s="19">
        <v>2086669</v>
      </c>
      <c r="U24" s="20">
        <f t="shared" si="6"/>
        <v>0</v>
      </c>
      <c r="V24" s="17">
        <f t="shared" si="7"/>
        <v>0</v>
      </c>
    </row>
    <row r="25" spans="2:22" ht="12" customHeight="1" outlineLevel="1">
      <c r="B25" s="13" t="s">
        <v>34</v>
      </c>
      <c r="C25" s="18">
        <v>0</v>
      </c>
      <c r="D25" s="18">
        <v>0</v>
      </c>
      <c r="E25" s="18">
        <v>0</v>
      </c>
      <c r="F25" s="18">
        <v>0</v>
      </c>
      <c r="G25" s="18">
        <v>206029</v>
      </c>
      <c r="H25" s="18">
        <v>0</v>
      </c>
      <c r="I25" s="18">
        <v>0</v>
      </c>
      <c r="J25" s="18">
        <v>0</v>
      </c>
      <c r="K25" s="19">
        <v>0</v>
      </c>
      <c r="L25" s="19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9">
        <f t="shared" si="5"/>
        <v>206029</v>
      </c>
      <c r="T25" s="19">
        <v>206029</v>
      </c>
      <c r="U25" s="20">
        <f t="shared" si="6"/>
        <v>0</v>
      </c>
      <c r="V25" s="17">
        <f t="shared" si="7"/>
        <v>0</v>
      </c>
    </row>
    <row r="26" spans="2:22" ht="12" customHeight="1" outlineLevel="1">
      <c r="B26" s="13" t="s">
        <v>35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9">
        <v>0</v>
      </c>
      <c r="L26" s="19">
        <v>295899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9">
        <f t="shared" si="5"/>
        <v>295899</v>
      </c>
      <c r="T26" s="19">
        <v>345899</v>
      </c>
      <c r="U26" s="20">
        <f t="shared" si="6"/>
        <v>-50000</v>
      </c>
      <c r="V26" s="17">
        <f t="shared" si="7"/>
        <v>-0.14455086600423822</v>
      </c>
    </row>
    <row r="27" spans="2:22" ht="12" customHeight="1" outlineLevel="1">
      <c r="B27" s="13" t="s">
        <v>36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9">
        <v>0</v>
      </c>
      <c r="L27" s="19">
        <v>588199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9">
        <f t="shared" si="5"/>
        <v>588199</v>
      </c>
      <c r="T27" s="19">
        <v>688199</v>
      </c>
      <c r="U27" s="20">
        <f t="shared" si="6"/>
        <v>-100000</v>
      </c>
      <c r="V27" s="17">
        <f t="shared" si="7"/>
        <v>-0.14530680805987803</v>
      </c>
    </row>
    <row r="28" spans="2:22" ht="12" customHeight="1" outlineLevel="1">
      <c r="B28" s="13" t="s">
        <v>37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9">
        <v>0</v>
      </c>
      <c r="L28" s="19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11505625</v>
      </c>
      <c r="S28" s="19">
        <f t="shared" si="5"/>
        <v>11505625</v>
      </c>
      <c r="T28" s="19">
        <v>8985742</v>
      </c>
      <c r="U28" s="20">
        <f t="shared" si="6"/>
        <v>2519883</v>
      </c>
      <c r="V28" s="17">
        <f t="shared" si="7"/>
        <v>0.28043126544251995</v>
      </c>
    </row>
    <row r="29" spans="2:22" ht="12" customHeight="1" outlineLevel="1">
      <c r="B29" s="13" t="s">
        <v>38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9">
        <v>0</v>
      </c>
      <c r="L29" s="19">
        <v>0</v>
      </c>
      <c r="M29" s="18">
        <v>54627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9">
        <f t="shared" si="5"/>
        <v>54627</v>
      </c>
      <c r="T29" s="19">
        <v>59627</v>
      </c>
      <c r="U29" s="20">
        <f t="shared" si="6"/>
        <v>-5000</v>
      </c>
      <c r="V29" s="17">
        <f t="shared" si="7"/>
        <v>-0.08385462961410099</v>
      </c>
    </row>
    <row r="30" spans="2:22" ht="12" customHeight="1">
      <c r="B30" s="28" t="s">
        <v>39</v>
      </c>
      <c r="C30" s="18">
        <v>0</v>
      </c>
      <c r="D30" s="18">
        <v>0</v>
      </c>
      <c r="E30" s="18">
        <v>0</v>
      </c>
      <c r="F30" s="18">
        <v>157820</v>
      </c>
      <c r="G30" s="18">
        <v>0</v>
      </c>
      <c r="H30" s="18">
        <v>0</v>
      </c>
      <c r="I30" s="18">
        <v>0</v>
      </c>
      <c r="J30" s="18">
        <v>0</v>
      </c>
      <c r="K30" s="19">
        <v>0</v>
      </c>
      <c r="L30" s="19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9">
        <f t="shared" si="5"/>
        <v>157820</v>
      </c>
      <c r="T30" s="19">
        <v>157820</v>
      </c>
      <c r="U30" s="20">
        <f t="shared" si="6"/>
        <v>0</v>
      </c>
      <c r="V30" s="17">
        <f t="shared" si="7"/>
        <v>0</v>
      </c>
    </row>
    <row r="31" spans="2:23" ht="12" customHeight="1" outlineLevel="1">
      <c r="B31" s="13" t="s">
        <v>40</v>
      </c>
      <c r="C31" s="18">
        <v>0</v>
      </c>
      <c r="D31" s="18">
        <v>0</v>
      </c>
      <c r="E31" s="18">
        <v>0</v>
      </c>
      <c r="F31" s="18">
        <v>6594</v>
      </c>
      <c r="G31" s="18">
        <v>0</v>
      </c>
      <c r="H31" s="18">
        <v>0</v>
      </c>
      <c r="I31" s="18">
        <v>0</v>
      </c>
      <c r="J31" s="18">
        <v>0</v>
      </c>
      <c r="K31" s="19">
        <v>0</v>
      </c>
      <c r="L31" s="19">
        <v>0</v>
      </c>
      <c r="M31" s="18">
        <v>11648519</v>
      </c>
      <c r="N31" s="18">
        <v>84662</v>
      </c>
      <c r="O31" s="18">
        <v>100000</v>
      </c>
      <c r="P31" s="18">
        <v>0</v>
      </c>
      <c r="Q31" s="18">
        <v>0</v>
      </c>
      <c r="R31" s="18">
        <v>0</v>
      </c>
      <c r="S31" s="19">
        <f t="shared" si="5"/>
        <v>11839775</v>
      </c>
      <c r="T31" s="19">
        <v>12267764</v>
      </c>
      <c r="U31" s="20">
        <f t="shared" si="6"/>
        <v>-427989</v>
      </c>
      <c r="V31" s="17">
        <f t="shared" si="7"/>
        <v>-0.03488728671337336</v>
      </c>
      <c r="W31" s="27">
        <f>T31-12267764</f>
        <v>0</v>
      </c>
    </row>
    <row r="32" spans="2:22" s="29" customFormat="1" ht="12" customHeight="1" outlineLevel="1">
      <c r="B32" s="22" t="s">
        <v>41</v>
      </c>
      <c r="C32" s="23">
        <f>SUM(C23:C31)</f>
        <v>1023</v>
      </c>
      <c r="D32" s="23">
        <f aca="true" t="shared" si="8" ref="D32:U32">SUM(D23:D31)</f>
        <v>173641</v>
      </c>
      <c r="E32" s="23">
        <f t="shared" si="8"/>
        <v>0</v>
      </c>
      <c r="F32" s="23">
        <f t="shared" si="8"/>
        <v>326965</v>
      </c>
      <c r="G32" s="23">
        <f t="shared" si="8"/>
        <v>403792</v>
      </c>
      <c r="H32" s="23">
        <f t="shared" si="8"/>
        <v>2086669</v>
      </c>
      <c r="I32" s="23">
        <f t="shared" si="8"/>
        <v>2030</v>
      </c>
      <c r="J32" s="23">
        <f t="shared" si="8"/>
        <v>1807752</v>
      </c>
      <c r="K32" s="23">
        <f t="shared" si="8"/>
        <v>0</v>
      </c>
      <c r="L32" s="23">
        <f t="shared" si="8"/>
        <v>1243572</v>
      </c>
      <c r="M32" s="23">
        <f t="shared" si="8"/>
        <v>19891631</v>
      </c>
      <c r="N32" s="23">
        <f t="shared" si="8"/>
        <v>84662</v>
      </c>
      <c r="O32" s="23">
        <f t="shared" si="8"/>
        <v>300000</v>
      </c>
      <c r="P32" s="23">
        <f t="shared" si="8"/>
        <v>0</v>
      </c>
      <c r="Q32" s="23">
        <f t="shared" si="8"/>
        <v>20000</v>
      </c>
      <c r="R32" s="23">
        <f t="shared" si="8"/>
        <v>11557898</v>
      </c>
      <c r="S32" s="23">
        <f t="shared" si="8"/>
        <v>37899635</v>
      </c>
      <c r="T32" s="23">
        <f t="shared" si="8"/>
        <v>37993253</v>
      </c>
      <c r="U32" s="24">
        <f t="shared" si="8"/>
        <v>-93618</v>
      </c>
      <c r="V32" s="25">
        <f>IF(T32=0,100%,U32/T32)</f>
        <v>-0.002464069080897074</v>
      </c>
    </row>
    <row r="33" spans="2:22" ht="12" customHeight="1" outlineLevel="1">
      <c r="B33" s="13" t="s">
        <v>42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9">
        <v>0</v>
      </c>
      <c r="L33" s="19">
        <v>0</v>
      </c>
      <c r="M33" s="18">
        <v>0</v>
      </c>
      <c r="N33" s="18">
        <v>6623040</v>
      </c>
      <c r="O33" s="18">
        <v>23008342</v>
      </c>
      <c r="P33" s="18">
        <v>0</v>
      </c>
      <c r="Q33" s="18">
        <v>0</v>
      </c>
      <c r="R33" s="18">
        <v>54136</v>
      </c>
      <c r="S33" s="19">
        <f aca="true" t="shared" si="9" ref="S33:S44">SUM(C33:R33)</f>
        <v>29685518</v>
      </c>
      <c r="T33" s="19">
        <v>21758982</v>
      </c>
      <c r="U33" s="20">
        <f>S33-T33</f>
        <v>7926536</v>
      </c>
      <c r="V33" s="17">
        <f>IF(T33=0,100%,U33/T33)</f>
        <v>0.36428799839992515</v>
      </c>
    </row>
    <row r="34" spans="2:22" ht="12" customHeight="1" outlineLevel="1">
      <c r="B34" s="28" t="s">
        <v>43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9">
        <v>0</v>
      </c>
      <c r="L34" s="19">
        <v>0</v>
      </c>
      <c r="M34" s="18">
        <v>0</v>
      </c>
      <c r="N34" s="18">
        <v>0</v>
      </c>
      <c r="O34" s="18">
        <v>61500</v>
      </c>
      <c r="P34" s="18">
        <v>0</v>
      </c>
      <c r="Q34" s="18">
        <v>0</v>
      </c>
      <c r="R34" s="18">
        <v>0</v>
      </c>
      <c r="S34" s="19">
        <f t="shared" si="9"/>
        <v>61500</v>
      </c>
      <c r="T34" s="19">
        <v>61500</v>
      </c>
      <c r="U34" s="20">
        <f aca="true" t="shared" si="10" ref="U34:U44">S34-T34</f>
        <v>0</v>
      </c>
      <c r="V34" s="17">
        <f aca="true" t="shared" si="11" ref="V34:V44">IF(T34=0,100%,U34/T34)</f>
        <v>0</v>
      </c>
    </row>
    <row r="35" spans="2:22" ht="12" customHeight="1" outlineLevel="1">
      <c r="B35" s="13" t="s">
        <v>44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9">
        <v>0</v>
      </c>
      <c r="L35" s="19">
        <v>0</v>
      </c>
      <c r="M35" s="18">
        <v>163595</v>
      </c>
      <c r="N35" s="18">
        <v>0</v>
      </c>
      <c r="O35" s="18">
        <v>259556</v>
      </c>
      <c r="P35" s="18">
        <v>0</v>
      </c>
      <c r="Q35" s="18">
        <v>0</v>
      </c>
      <c r="R35" s="18">
        <v>0</v>
      </c>
      <c r="S35" s="19">
        <f t="shared" si="9"/>
        <v>423151</v>
      </c>
      <c r="T35" s="19">
        <v>423151</v>
      </c>
      <c r="U35" s="20">
        <f t="shared" si="10"/>
        <v>0</v>
      </c>
      <c r="V35" s="17">
        <f t="shared" si="11"/>
        <v>0</v>
      </c>
    </row>
    <row r="36" spans="2:22" ht="12" customHeight="1" outlineLevel="1">
      <c r="B36" s="28" t="s">
        <v>45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9">
        <v>0</v>
      </c>
      <c r="L36" s="19">
        <v>0</v>
      </c>
      <c r="M36" s="18">
        <v>55822</v>
      </c>
      <c r="N36" s="18">
        <v>0</v>
      </c>
      <c r="O36" s="18">
        <v>90350</v>
      </c>
      <c r="P36" s="18">
        <v>0</v>
      </c>
      <c r="Q36" s="18">
        <v>0</v>
      </c>
      <c r="R36" s="18">
        <v>0</v>
      </c>
      <c r="S36" s="19">
        <f t="shared" si="9"/>
        <v>146172</v>
      </c>
      <c r="T36" s="19">
        <v>146172</v>
      </c>
      <c r="U36" s="20">
        <f t="shared" si="10"/>
        <v>0</v>
      </c>
      <c r="V36" s="17">
        <f>IF(T36=0,100%,U36/T36)</f>
        <v>0</v>
      </c>
    </row>
    <row r="37" spans="2:22" ht="12" customHeight="1" outlineLevel="1">
      <c r="B37" s="13" t="s">
        <v>46</v>
      </c>
      <c r="C37" s="18">
        <v>644</v>
      </c>
      <c r="D37" s="18">
        <v>0</v>
      </c>
      <c r="E37" s="18">
        <v>0</v>
      </c>
      <c r="F37" s="18">
        <v>0</v>
      </c>
      <c r="G37" s="18">
        <v>801</v>
      </c>
      <c r="H37" s="18">
        <v>0</v>
      </c>
      <c r="I37" s="18">
        <v>3892</v>
      </c>
      <c r="J37" s="18">
        <v>0</v>
      </c>
      <c r="K37" s="19">
        <v>0</v>
      </c>
      <c r="L37" s="19">
        <v>0</v>
      </c>
      <c r="M37" s="18">
        <v>0</v>
      </c>
      <c r="N37" s="18">
        <v>0</v>
      </c>
      <c r="O37" s="18">
        <v>23565</v>
      </c>
      <c r="P37" s="18">
        <v>0</v>
      </c>
      <c r="Q37" s="18">
        <v>600</v>
      </c>
      <c r="R37" s="18">
        <v>0</v>
      </c>
      <c r="S37" s="19">
        <f t="shared" si="9"/>
        <v>29502</v>
      </c>
      <c r="T37" s="19">
        <v>29502</v>
      </c>
      <c r="U37" s="20">
        <f t="shared" si="10"/>
        <v>0</v>
      </c>
      <c r="V37" s="17">
        <f t="shared" si="11"/>
        <v>0</v>
      </c>
    </row>
    <row r="38" spans="2:22" ht="12" customHeight="1" outlineLevel="1">
      <c r="B38" s="13" t="s">
        <v>47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2798</v>
      </c>
      <c r="K38" s="19">
        <v>0</v>
      </c>
      <c r="L38" s="19">
        <v>0</v>
      </c>
      <c r="M38" s="18">
        <v>0</v>
      </c>
      <c r="N38" s="18">
        <v>218000</v>
      </c>
      <c r="O38" s="18">
        <v>1942062</v>
      </c>
      <c r="P38" s="18">
        <v>0</v>
      </c>
      <c r="Q38" s="18">
        <v>0</v>
      </c>
      <c r="R38" s="18">
        <v>129417</v>
      </c>
      <c r="S38" s="19">
        <f t="shared" si="9"/>
        <v>2292277</v>
      </c>
      <c r="T38" s="19">
        <v>3173777</v>
      </c>
      <c r="U38" s="20">
        <f t="shared" si="10"/>
        <v>-881500</v>
      </c>
      <c r="V38" s="17">
        <f t="shared" si="11"/>
        <v>-0.2777447816907111</v>
      </c>
    </row>
    <row r="39" spans="2:22" ht="12" customHeight="1" outlineLevel="1">
      <c r="B39" s="13" t="s">
        <v>48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9">
        <v>0</v>
      </c>
      <c r="L39" s="19">
        <v>0</v>
      </c>
      <c r="M39" s="18">
        <v>0</v>
      </c>
      <c r="N39" s="18">
        <v>0</v>
      </c>
      <c r="O39" s="18">
        <v>1023309</v>
      </c>
      <c r="P39" s="18">
        <v>0</v>
      </c>
      <c r="Q39" s="18">
        <v>0</v>
      </c>
      <c r="R39" s="18">
        <v>0</v>
      </c>
      <c r="S39" s="19">
        <f t="shared" si="9"/>
        <v>1023309</v>
      </c>
      <c r="T39" s="19">
        <v>1023309</v>
      </c>
      <c r="U39" s="20">
        <f t="shared" si="10"/>
        <v>0</v>
      </c>
      <c r="V39" s="17">
        <f t="shared" si="11"/>
        <v>0</v>
      </c>
    </row>
    <row r="40" spans="2:22" ht="12" customHeight="1" outlineLevel="1">
      <c r="B40" s="13" t="s">
        <v>49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9">
        <v>0</v>
      </c>
      <c r="L40" s="19">
        <v>0</v>
      </c>
      <c r="M40" s="18">
        <v>0</v>
      </c>
      <c r="N40" s="18">
        <v>0</v>
      </c>
      <c r="O40" s="18">
        <v>850000</v>
      </c>
      <c r="P40" s="18">
        <v>0</v>
      </c>
      <c r="Q40" s="18">
        <v>0</v>
      </c>
      <c r="R40" s="18">
        <v>0</v>
      </c>
      <c r="S40" s="19">
        <f t="shared" si="9"/>
        <v>850000</v>
      </c>
      <c r="T40" s="19">
        <v>722590</v>
      </c>
      <c r="U40" s="20">
        <f t="shared" si="10"/>
        <v>127410</v>
      </c>
      <c r="V40" s="17">
        <f>IF(T40=0,100%,U40/T40)</f>
        <v>0.17632405651891114</v>
      </c>
    </row>
    <row r="41" spans="2:22" ht="12" customHeight="1" outlineLevel="1">
      <c r="B41" s="28" t="s">
        <v>50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9">
        <v>0</v>
      </c>
      <c r="L41" s="19">
        <v>0</v>
      </c>
      <c r="M41" s="18">
        <v>0</v>
      </c>
      <c r="N41" s="18">
        <v>0</v>
      </c>
      <c r="O41" s="18">
        <v>50600</v>
      </c>
      <c r="P41" s="18">
        <v>0</v>
      </c>
      <c r="Q41" s="18">
        <v>0</v>
      </c>
      <c r="R41" s="18">
        <v>0</v>
      </c>
      <c r="S41" s="19">
        <f t="shared" si="9"/>
        <v>50600</v>
      </c>
      <c r="T41" s="19">
        <v>70600</v>
      </c>
      <c r="U41" s="20">
        <f t="shared" si="10"/>
        <v>-20000</v>
      </c>
      <c r="V41" s="17">
        <f t="shared" si="11"/>
        <v>-0.28328611898017</v>
      </c>
    </row>
    <row r="42" spans="2:22" ht="12" customHeight="1" outlineLevel="1">
      <c r="B42" s="28" t="s">
        <v>51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9">
        <v>0</v>
      </c>
      <c r="L42" s="19">
        <v>0</v>
      </c>
      <c r="M42" s="18">
        <v>0</v>
      </c>
      <c r="N42" s="18">
        <v>0</v>
      </c>
      <c r="O42" s="18">
        <v>1906846</v>
      </c>
      <c r="P42" s="18">
        <v>0</v>
      </c>
      <c r="Q42" s="18">
        <v>0</v>
      </c>
      <c r="R42" s="18">
        <v>0</v>
      </c>
      <c r="S42" s="19">
        <f t="shared" si="9"/>
        <v>1906846</v>
      </c>
      <c r="T42" s="19">
        <v>2164256</v>
      </c>
      <c r="U42" s="20">
        <f t="shared" si="10"/>
        <v>-257410</v>
      </c>
      <c r="V42" s="17">
        <f t="shared" si="11"/>
        <v>-0.11893694646104712</v>
      </c>
    </row>
    <row r="43" spans="2:22" ht="12" customHeight="1" outlineLevel="1">
      <c r="B43" s="28" t="s">
        <v>52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9">
        <v>0</v>
      </c>
      <c r="L43" s="19">
        <v>0</v>
      </c>
      <c r="M43" s="18">
        <v>0</v>
      </c>
      <c r="N43" s="18">
        <v>0</v>
      </c>
      <c r="O43" s="18">
        <v>288685</v>
      </c>
      <c r="P43" s="18">
        <v>0</v>
      </c>
      <c r="Q43" s="18">
        <v>0</v>
      </c>
      <c r="R43" s="18">
        <v>0</v>
      </c>
      <c r="S43" s="19">
        <f t="shared" si="9"/>
        <v>288685</v>
      </c>
      <c r="T43" s="19">
        <v>290685</v>
      </c>
      <c r="U43" s="20">
        <f t="shared" si="10"/>
        <v>-2000</v>
      </c>
      <c r="V43" s="17">
        <f t="shared" si="11"/>
        <v>-0.006880299981079175</v>
      </c>
    </row>
    <row r="44" spans="2:23" ht="12" customHeight="1">
      <c r="B44" s="13" t="s">
        <v>53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1979</v>
      </c>
      <c r="K44" s="19">
        <v>0</v>
      </c>
      <c r="L44" s="19">
        <v>0</v>
      </c>
      <c r="M44" s="18">
        <v>50594</v>
      </c>
      <c r="N44" s="18">
        <v>0</v>
      </c>
      <c r="O44" s="18">
        <v>189600</v>
      </c>
      <c r="P44" s="18">
        <v>0</v>
      </c>
      <c r="Q44" s="18">
        <v>0</v>
      </c>
      <c r="R44" s="18">
        <v>82687</v>
      </c>
      <c r="S44" s="19">
        <f t="shared" si="9"/>
        <v>324860</v>
      </c>
      <c r="T44" s="19">
        <v>316523</v>
      </c>
      <c r="U44" s="20">
        <f t="shared" si="10"/>
        <v>8337</v>
      </c>
      <c r="V44" s="17">
        <f t="shared" si="11"/>
        <v>0.026339318153815048</v>
      </c>
      <c r="W44" s="27">
        <f>T44-316523</f>
        <v>0</v>
      </c>
    </row>
    <row r="45" spans="2:22" s="29" customFormat="1" ht="12" customHeight="1">
      <c r="B45" s="22" t="s">
        <v>13</v>
      </c>
      <c r="C45" s="23">
        <f aca="true" t="shared" si="12" ref="C45:Q45">SUM(C33:C44)</f>
        <v>644</v>
      </c>
      <c r="D45" s="23">
        <f t="shared" si="12"/>
        <v>0</v>
      </c>
      <c r="E45" s="23">
        <f t="shared" si="12"/>
        <v>0</v>
      </c>
      <c r="F45" s="23">
        <f aca="true" t="shared" si="13" ref="F45:L45">SUM(F33:F44)</f>
        <v>0</v>
      </c>
      <c r="G45" s="23">
        <f t="shared" si="13"/>
        <v>801</v>
      </c>
      <c r="H45" s="23">
        <f t="shared" si="13"/>
        <v>0</v>
      </c>
      <c r="I45" s="23">
        <f t="shared" si="13"/>
        <v>3892</v>
      </c>
      <c r="J45" s="23">
        <f t="shared" si="13"/>
        <v>4777</v>
      </c>
      <c r="K45" s="23">
        <f t="shared" si="13"/>
        <v>0</v>
      </c>
      <c r="L45" s="23">
        <f t="shared" si="13"/>
        <v>0</v>
      </c>
      <c r="M45" s="23">
        <f t="shared" si="12"/>
        <v>270011</v>
      </c>
      <c r="N45" s="23">
        <f>SUM(N33:N44)</f>
        <v>6841040</v>
      </c>
      <c r="O45" s="23">
        <f t="shared" si="12"/>
        <v>29694415</v>
      </c>
      <c r="P45" s="23">
        <f t="shared" si="12"/>
        <v>0</v>
      </c>
      <c r="Q45" s="23">
        <f t="shared" si="12"/>
        <v>600</v>
      </c>
      <c r="R45" s="23">
        <f>SUM(R33:R44)</f>
        <v>266240</v>
      </c>
      <c r="S45" s="23">
        <f>SUM(S33:S44)</f>
        <v>37082420</v>
      </c>
      <c r="T45" s="23">
        <f>SUM(T33:T44)</f>
        <v>30181047</v>
      </c>
      <c r="U45" s="24">
        <f>SUM(U33:U44)</f>
        <v>6901373</v>
      </c>
      <c r="V45" s="25">
        <f>IF(T45=0,100%,U45/T45)</f>
        <v>0.22866579148165403</v>
      </c>
    </row>
    <row r="46" spans="2:22" ht="12" customHeight="1">
      <c r="B46" s="13" t="s">
        <v>54</v>
      </c>
      <c r="C46" s="18">
        <v>0</v>
      </c>
      <c r="D46" s="18">
        <v>0</v>
      </c>
      <c r="E46" s="18">
        <v>0</v>
      </c>
      <c r="F46" s="18">
        <v>0</v>
      </c>
      <c r="G46" s="18">
        <v>100</v>
      </c>
      <c r="H46" s="18">
        <v>0</v>
      </c>
      <c r="I46" s="18">
        <v>0</v>
      </c>
      <c r="J46" s="18">
        <v>0</v>
      </c>
      <c r="K46" s="19">
        <v>0</v>
      </c>
      <c r="L46" s="19">
        <v>0</v>
      </c>
      <c r="M46" s="18">
        <v>8580160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9">
        <f aca="true" t="shared" si="14" ref="S46:S52">SUM(C46:R46)</f>
        <v>8580260</v>
      </c>
      <c r="T46" s="19">
        <v>10668292</v>
      </c>
      <c r="U46" s="20">
        <f aca="true" t="shared" si="15" ref="U46:U52">S46-T46</f>
        <v>-2088032</v>
      </c>
      <c r="V46" s="17">
        <f aca="true" t="shared" si="16" ref="V46:V52">IF(T46=0,100%,U46/T46)</f>
        <v>-0.19572317668095324</v>
      </c>
    </row>
    <row r="47" spans="2:22" ht="12" customHeight="1">
      <c r="B47" s="28" t="s">
        <v>55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9">
        <v>0</v>
      </c>
      <c r="L47" s="19">
        <v>0</v>
      </c>
      <c r="M47" s="18">
        <v>0</v>
      </c>
      <c r="N47" s="18">
        <v>1181521</v>
      </c>
      <c r="O47" s="18">
        <v>121200</v>
      </c>
      <c r="P47" s="18">
        <v>0</v>
      </c>
      <c r="Q47" s="18">
        <v>0</v>
      </c>
      <c r="R47" s="18">
        <v>0</v>
      </c>
      <c r="S47" s="19">
        <f t="shared" si="14"/>
        <v>1302721</v>
      </c>
      <c r="T47" s="19">
        <v>1364758</v>
      </c>
      <c r="U47" s="20">
        <f t="shared" si="15"/>
        <v>-62037</v>
      </c>
      <c r="V47" s="17">
        <f t="shared" si="16"/>
        <v>-0.045456410587078444</v>
      </c>
    </row>
    <row r="48" spans="2:22" ht="12" customHeight="1">
      <c r="B48" s="13" t="s">
        <v>56</v>
      </c>
      <c r="C48" s="18">
        <v>3923</v>
      </c>
      <c r="D48" s="18">
        <v>4187</v>
      </c>
      <c r="E48" s="18">
        <v>0</v>
      </c>
      <c r="F48" s="18">
        <v>67669</v>
      </c>
      <c r="G48" s="18">
        <v>10597</v>
      </c>
      <c r="H48" s="18">
        <v>3423</v>
      </c>
      <c r="I48" s="18">
        <v>14584</v>
      </c>
      <c r="J48" s="18">
        <v>2960</v>
      </c>
      <c r="K48" s="19">
        <v>0</v>
      </c>
      <c r="L48" s="19">
        <v>3044</v>
      </c>
      <c r="M48" s="18">
        <v>67793</v>
      </c>
      <c r="N48" s="18">
        <v>106500</v>
      </c>
      <c r="O48" s="18">
        <v>45900</v>
      </c>
      <c r="P48" s="18">
        <v>3053</v>
      </c>
      <c r="Q48" s="18">
        <v>6283</v>
      </c>
      <c r="R48" s="18">
        <v>33614</v>
      </c>
      <c r="S48" s="19">
        <f t="shared" si="14"/>
        <v>373530</v>
      </c>
      <c r="T48" s="19">
        <v>452183</v>
      </c>
      <c r="U48" s="20">
        <f t="shared" si="15"/>
        <v>-78653</v>
      </c>
      <c r="V48" s="17">
        <f t="shared" si="16"/>
        <v>-0.17394063907754162</v>
      </c>
    </row>
    <row r="49" spans="2:22" ht="12" customHeight="1">
      <c r="B49" s="13" t="s">
        <v>57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9">
        <v>0</v>
      </c>
      <c r="L49" s="19">
        <v>0</v>
      </c>
      <c r="M49" s="18">
        <v>0</v>
      </c>
      <c r="N49" s="18">
        <v>0</v>
      </c>
      <c r="O49" s="18">
        <v>909425</v>
      </c>
      <c r="P49" s="18">
        <v>0</v>
      </c>
      <c r="Q49" s="18">
        <v>0</v>
      </c>
      <c r="R49" s="18">
        <v>0</v>
      </c>
      <c r="S49" s="19">
        <f t="shared" si="14"/>
        <v>909425</v>
      </c>
      <c r="T49" s="19">
        <v>1059425</v>
      </c>
      <c r="U49" s="20">
        <f t="shared" si="15"/>
        <v>-150000</v>
      </c>
      <c r="V49" s="17">
        <f t="shared" si="16"/>
        <v>-0.14158623781768412</v>
      </c>
    </row>
    <row r="50" spans="2:22" ht="12" customHeight="1">
      <c r="B50" s="13" t="s">
        <v>58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9">
        <v>0</v>
      </c>
      <c r="L50" s="19">
        <v>0</v>
      </c>
      <c r="M50" s="18">
        <f>9491582-600000</f>
        <v>8891582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9">
        <f t="shared" si="14"/>
        <v>8891582</v>
      </c>
      <c r="T50" s="19">
        <v>10567552</v>
      </c>
      <c r="U50" s="20">
        <f t="shared" si="15"/>
        <v>-1675970</v>
      </c>
      <c r="V50" s="17">
        <f t="shared" si="16"/>
        <v>-0.1585958602332877</v>
      </c>
    </row>
    <row r="51" spans="2:22" ht="12" customHeight="1">
      <c r="B51" s="28" t="s">
        <v>59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9">
        <v>0</v>
      </c>
      <c r="L51" s="19">
        <v>0</v>
      </c>
      <c r="M51" s="18">
        <v>0</v>
      </c>
      <c r="N51" s="18">
        <v>8218337</v>
      </c>
      <c r="O51" s="18">
        <v>0</v>
      </c>
      <c r="P51" s="18">
        <v>0</v>
      </c>
      <c r="Q51" s="18">
        <v>0</v>
      </c>
      <c r="R51" s="18">
        <v>0</v>
      </c>
      <c r="S51" s="19">
        <f t="shared" si="14"/>
        <v>8218337</v>
      </c>
      <c r="T51" s="19">
        <v>10994874</v>
      </c>
      <c r="U51" s="20">
        <f t="shared" si="15"/>
        <v>-2776537</v>
      </c>
      <c r="V51" s="17">
        <f t="shared" si="16"/>
        <v>-0.25253013358770643</v>
      </c>
    </row>
    <row r="52" spans="2:22" ht="12" customHeight="1">
      <c r="B52" s="28" t="s">
        <v>60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9">
        <v>0</v>
      </c>
      <c r="L52" s="19">
        <v>0</v>
      </c>
      <c r="M52" s="18">
        <v>18995336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9">
        <f t="shared" si="14"/>
        <v>18995336</v>
      </c>
      <c r="T52" s="19">
        <v>19982558</v>
      </c>
      <c r="U52" s="20">
        <f t="shared" si="15"/>
        <v>-987222</v>
      </c>
      <c r="V52" s="17">
        <f t="shared" si="16"/>
        <v>-0.04940418539007869</v>
      </c>
    </row>
    <row r="53" spans="2:22" s="29" customFormat="1" ht="12" customHeight="1">
      <c r="B53" s="22" t="s">
        <v>14</v>
      </c>
      <c r="C53" s="23">
        <f aca="true" t="shared" si="17" ref="C53:R53">SUM(C46:C52)</f>
        <v>3923</v>
      </c>
      <c r="D53" s="23">
        <f t="shared" si="17"/>
        <v>4187</v>
      </c>
      <c r="E53" s="23">
        <f t="shared" si="17"/>
        <v>0</v>
      </c>
      <c r="F53" s="23">
        <f aca="true" t="shared" si="18" ref="F53:L53">SUM(F46:F52)</f>
        <v>67669</v>
      </c>
      <c r="G53" s="23">
        <f t="shared" si="18"/>
        <v>10697</v>
      </c>
      <c r="H53" s="23">
        <f t="shared" si="18"/>
        <v>3423</v>
      </c>
      <c r="I53" s="23">
        <f t="shared" si="18"/>
        <v>14584</v>
      </c>
      <c r="J53" s="23">
        <f t="shared" si="18"/>
        <v>2960</v>
      </c>
      <c r="K53" s="23">
        <f t="shared" si="18"/>
        <v>0</v>
      </c>
      <c r="L53" s="23">
        <f t="shared" si="18"/>
        <v>3044</v>
      </c>
      <c r="M53" s="23">
        <f t="shared" si="17"/>
        <v>36534871</v>
      </c>
      <c r="N53" s="23">
        <f>SUM(N46:N52)</f>
        <v>9506358</v>
      </c>
      <c r="O53" s="23">
        <f t="shared" si="17"/>
        <v>1076525</v>
      </c>
      <c r="P53" s="23">
        <f t="shared" si="17"/>
        <v>3053</v>
      </c>
      <c r="Q53" s="23">
        <f t="shared" si="17"/>
        <v>6283</v>
      </c>
      <c r="R53" s="23">
        <f t="shared" si="17"/>
        <v>33614</v>
      </c>
      <c r="S53" s="23">
        <f>SUM(S46:S52)</f>
        <v>47271191</v>
      </c>
      <c r="T53" s="23">
        <f>SUM(T46:T52)</f>
        <v>55089642</v>
      </c>
      <c r="U53" s="24">
        <f>SUM(U46:U52)</f>
        <v>-7818451</v>
      </c>
      <c r="V53" s="25">
        <f>IF(T53=0,100%,U53/T53)</f>
        <v>-0.14192234177161653</v>
      </c>
    </row>
    <row r="54" spans="2:23" ht="12" customHeight="1">
      <c r="B54" s="28" t="s">
        <v>61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26000</v>
      </c>
      <c r="J54" s="18">
        <v>0</v>
      </c>
      <c r="K54" s="19">
        <v>0</v>
      </c>
      <c r="L54" s="19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9">
        <f aca="true" t="shared" si="19" ref="S54:S59">SUM(C54:R54)</f>
        <v>26000</v>
      </c>
      <c r="T54" s="19">
        <v>29958</v>
      </c>
      <c r="U54" s="20">
        <f aca="true" t="shared" si="20" ref="U54:U59">S54-T54</f>
        <v>-3958</v>
      </c>
      <c r="V54" s="17">
        <f aca="true" t="shared" si="21" ref="V54:V59">IF(T54=0,100%,U54/T54)</f>
        <v>-0.13211829895186594</v>
      </c>
      <c r="W54" s="27">
        <f>T54-29958</f>
        <v>0</v>
      </c>
    </row>
    <row r="55" spans="2:22" ht="12" customHeight="1">
      <c r="B55" s="28" t="s">
        <v>62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1426601</v>
      </c>
      <c r="K55" s="19">
        <v>0</v>
      </c>
      <c r="L55" s="19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9">
        <f t="shared" si="19"/>
        <v>1426601</v>
      </c>
      <c r="T55" s="19">
        <v>1426601</v>
      </c>
      <c r="U55" s="20">
        <f t="shared" si="20"/>
        <v>0</v>
      </c>
      <c r="V55" s="17">
        <f t="shared" si="21"/>
        <v>0</v>
      </c>
    </row>
    <row r="56" spans="2:22" ht="12" customHeight="1">
      <c r="B56" s="28" t="s">
        <v>63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1019697</v>
      </c>
      <c r="K56" s="19">
        <v>0</v>
      </c>
      <c r="L56" s="19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9">
        <f t="shared" si="19"/>
        <v>1019697</v>
      </c>
      <c r="T56" s="19">
        <v>1019697</v>
      </c>
      <c r="U56" s="20">
        <f t="shared" si="20"/>
        <v>0</v>
      </c>
      <c r="V56" s="17">
        <f t="shared" si="21"/>
        <v>0</v>
      </c>
    </row>
    <row r="57" spans="2:22" ht="12" customHeight="1">
      <c r="B57" s="28" t="s">
        <v>64</v>
      </c>
      <c r="C57" s="18">
        <v>280</v>
      </c>
      <c r="D57" s="18">
        <v>10246</v>
      </c>
      <c r="E57" s="18">
        <v>0</v>
      </c>
      <c r="F57" s="18">
        <v>81057</v>
      </c>
      <c r="G57" s="18">
        <v>0</v>
      </c>
      <c r="H57" s="18">
        <v>0</v>
      </c>
      <c r="I57" s="18">
        <v>97800</v>
      </c>
      <c r="J57" s="18">
        <f>1159249-110000</f>
        <v>1049249</v>
      </c>
      <c r="K57" s="19">
        <v>0</v>
      </c>
      <c r="L57" s="19">
        <v>0</v>
      </c>
      <c r="M57" s="18">
        <v>234531</v>
      </c>
      <c r="N57" s="18">
        <v>0</v>
      </c>
      <c r="O57" s="18">
        <v>0</v>
      </c>
      <c r="P57" s="18">
        <v>0</v>
      </c>
      <c r="Q57" s="18">
        <v>0</v>
      </c>
      <c r="R57" s="18">
        <v>7636</v>
      </c>
      <c r="S57" s="19">
        <f t="shared" si="19"/>
        <v>1480799</v>
      </c>
      <c r="T57" s="19">
        <v>1177440</v>
      </c>
      <c r="U57" s="20">
        <f t="shared" si="20"/>
        <v>303359</v>
      </c>
      <c r="V57" s="17">
        <f t="shared" si="21"/>
        <v>0.2576428522897133</v>
      </c>
    </row>
    <row r="58" spans="2:22" ht="12" customHeight="1">
      <c r="B58" s="13" t="s">
        <v>65</v>
      </c>
      <c r="C58" s="18">
        <v>4000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1122</v>
      </c>
      <c r="J58" s="18">
        <v>8177</v>
      </c>
      <c r="K58" s="19">
        <v>0</v>
      </c>
      <c r="L58" s="19">
        <v>0</v>
      </c>
      <c r="M58" s="18">
        <v>116979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9">
        <f t="shared" si="19"/>
        <v>130278</v>
      </c>
      <c r="T58" s="19">
        <v>13299</v>
      </c>
      <c r="U58" s="20">
        <f t="shared" si="20"/>
        <v>116979</v>
      </c>
      <c r="V58" s="17">
        <f t="shared" si="21"/>
        <v>8.796074892849086</v>
      </c>
    </row>
    <row r="59" spans="2:22" ht="12" customHeight="1">
      <c r="B59" s="13" t="s">
        <v>66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46960</v>
      </c>
      <c r="K59" s="19">
        <v>0</v>
      </c>
      <c r="L59" s="19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9">
        <f t="shared" si="19"/>
        <v>46960</v>
      </c>
      <c r="T59" s="19">
        <v>91960</v>
      </c>
      <c r="U59" s="20">
        <f t="shared" si="20"/>
        <v>-45000</v>
      </c>
      <c r="V59" s="17">
        <f t="shared" si="21"/>
        <v>-0.489343192692475</v>
      </c>
    </row>
    <row r="60" spans="2:22" s="29" customFormat="1" ht="12" customHeight="1">
      <c r="B60" s="22" t="s">
        <v>67</v>
      </c>
      <c r="C60" s="23">
        <f>SUM(C54:C59)</f>
        <v>4280</v>
      </c>
      <c r="D60" s="23">
        <f aca="true" t="shared" si="22" ref="D60:R60">SUM(D54:D59)</f>
        <v>10246</v>
      </c>
      <c r="E60" s="23">
        <f t="shared" si="22"/>
        <v>0</v>
      </c>
      <c r="F60" s="23">
        <f t="shared" si="22"/>
        <v>81057</v>
      </c>
      <c r="G60" s="23">
        <f t="shared" si="22"/>
        <v>0</v>
      </c>
      <c r="H60" s="23">
        <f t="shared" si="22"/>
        <v>0</v>
      </c>
      <c r="I60" s="23">
        <f t="shared" si="22"/>
        <v>124922</v>
      </c>
      <c r="J60" s="23">
        <f t="shared" si="22"/>
        <v>3550684</v>
      </c>
      <c r="K60" s="23">
        <f t="shared" si="22"/>
        <v>0</v>
      </c>
      <c r="L60" s="23">
        <f t="shared" si="22"/>
        <v>0</v>
      </c>
      <c r="M60" s="23">
        <f t="shared" si="22"/>
        <v>351510</v>
      </c>
      <c r="N60" s="23">
        <f>SUM(N54:N59)</f>
        <v>0</v>
      </c>
      <c r="O60" s="23">
        <f t="shared" si="22"/>
        <v>0</v>
      </c>
      <c r="P60" s="23">
        <f t="shared" si="22"/>
        <v>0</v>
      </c>
      <c r="Q60" s="23">
        <f t="shared" si="22"/>
        <v>0</v>
      </c>
      <c r="R60" s="23">
        <f t="shared" si="22"/>
        <v>7636</v>
      </c>
      <c r="S60" s="23">
        <f>SUM(S54:S59)</f>
        <v>4130335</v>
      </c>
      <c r="T60" s="23">
        <f>SUM(T54:T59)</f>
        <v>3758955</v>
      </c>
      <c r="U60" s="24">
        <f>SUM(U54:U59)</f>
        <v>371380</v>
      </c>
      <c r="V60" s="25">
        <f>IF(T60=0,100%,U60/T60)</f>
        <v>0.09879873528680179</v>
      </c>
    </row>
    <row r="61" spans="2:22" ht="12" customHeight="1">
      <c r="B61" s="13" t="s">
        <v>68</v>
      </c>
      <c r="C61" s="18">
        <v>2308</v>
      </c>
      <c r="D61" s="18">
        <v>2382</v>
      </c>
      <c r="E61" s="18">
        <v>59697</v>
      </c>
      <c r="F61" s="18">
        <v>8418</v>
      </c>
      <c r="G61" s="18">
        <v>646</v>
      </c>
      <c r="H61" s="18">
        <v>2500</v>
      </c>
      <c r="I61" s="18">
        <v>3120</v>
      </c>
      <c r="J61" s="18">
        <v>12941</v>
      </c>
      <c r="K61" s="19">
        <v>0</v>
      </c>
      <c r="L61" s="19">
        <v>0</v>
      </c>
      <c r="M61" s="18">
        <v>30525</v>
      </c>
      <c r="N61" s="18">
        <v>0</v>
      </c>
      <c r="O61" s="18">
        <v>6100</v>
      </c>
      <c r="P61" s="18">
        <v>2013</v>
      </c>
      <c r="Q61" s="18">
        <v>500</v>
      </c>
      <c r="R61" s="18">
        <v>1000</v>
      </c>
      <c r="S61" s="19">
        <f aca="true" t="shared" si="23" ref="S61:S70">SUM(C61:R61)</f>
        <v>132150</v>
      </c>
      <c r="T61" s="19">
        <v>127201</v>
      </c>
      <c r="U61" s="20">
        <f aca="true" t="shared" si="24" ref="U61:U70">S61-T61</f>
        <v>4949</v>
      </c>
      <c r="V61" s="17">
        <f aca="true" t="shared" si="25" ref="V61:V70">IF(T61=0,100%,U61/T61)</f>
        <v>0.03890692683233622</v>
      </c>
    </row>
    <row r="62" spans="2:22" ht="12" customHeight="1">
      <c r="B62" s="28" t="s">
        <v>69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9">
        <v>0</v>
      </c>
      <c r="L62" s="19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f>2471370+600000</f>
        <v>3071370</v>
      </c>
      <c r="S62" s="19">
        <f t="shared" si="23"/>
        <v>3071370</v>
      </c>
      <c r="T62" s="19">
        <v>2349211</v>
      </c>
      <c r="U62" s="20">
        <f t="shared" si="24"/>
        <v>722159</v>
      </c>
      <c r="V62" s="17">
        <f t="shared" si="25"/>
        <v>0.30740491169162754</v>
      </c>
    </row>
    <row r="63" spans="2:22" ht="12" customHeight="1">
      <c r="B63" s="13" t="s">
        <v>70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1752</v>
      </c>
      <c r="K63" s="19">
        <v>0</v>
      </c>
      <c r="L63" s="19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9">
        <f t="shared" si="23"/>
        <v>1752</v>
      </c>
      <c r="T63" s="19">
        <v>1752</v>
      </c>
      <c r="U63" s="20">
        <f t="shared" si="24"/>
        <v>0</v>
      </c>
      <c r="V63" s="17">
        <f t="shared" si="25"/>
        <v>0</v>
      </c>
    </row>
    <row r="64" spans="2:22" ht="12" customHeight="1">
      <c r="B64" s="13" t="s">
        <v>71</v>
      </c>
      <c r="C64" s="18">
        <v>14776</v>
      </c>
      <c r="D64" s="18">
        <v>14760</v>
      </c>
      <c r="E64" s="18">
        <v>14029</v>
      </c>
      <c r="F64" s="18">
        <v>6371</v>
      </c>
      <c r="G64" s="18">
        <v>5000</v>
      </c>
      <c r="H64" s="18">
        <v>12869</v>
      </c>
      <c r="I64" s="18">
        <v>21000</v>
      </c>
      <c r="J64" s="18">
        <v>35010</v>
      </c>
      <c r="K64" s="19">
        <v>0</v>
      </c>
      <c r="L64" s="19">
        <v>11578</v>
      </c>
      <c r="M64" s="18">
        <v>20005</v>
      </c>
      <c r="N64" s="18">
        <v>27900</v>
      </c>
      <c r="O64" s="18">
        <v>23100</v>
      </c>
      <c r="P64" s="18">
        <v>16579</v>
      </c>
      <c r="Q64" s="18">
        <v>11711</v>
      </c>
      <c r="R64" s="18">
        <v>12049</v>
      </c>
      <c r="S64" s="19">
        <f t="shared" si="23"/>
        <v>246737</v>
      </c>
      <c r="T64" s="19">
        <v>328708</v>
      </c>
      <c r="U64" s="20">
        <f>S64-T64</f>
        <v>-81971</v>
      </c>
      <c r="V64" s="17">
        <f t="shared" si="25"/>
        <v>-0.24937330396582985</v>
      </c>
    </row>
    <row r="65" spans="2:22" ht="12" customHeight="1">
      <c r="B65" s="13" t="s">
        <v>72</v>
      </c>
      <c r="C65" s="18">
        <v>5000</v>
      </c>
      <c r="D65" s="18">
        <v>60093</v>
      </c>
      <c r="E65" s="18">
        <v>9500</v>
      </c>
      <c r="F65" s="18">
        <v>8440</v>
      </c>
      <c r="G65" s="18">
        <v>5060</v>
      </c>
      <c r="H65" s="18">
        <v>77763</v>
      </c>
      <c r="I65" s="18">
        <v>75003</v>
      </c>
      <c r="J65" s="18">
        <v>28155</v>
      </c>
      <c r="K65" s="19">
        <v>1300</v>
      </c>
      <c r="L65" s="19">
        <v>3661</v>
      </c>
      <c r="M65" s="18">
        <v>29429</v>
      </c>
      <c r="N65" s="18">
        <v>6000</v>
      </c>
      <c r="O65" s="18">
        <v>25615</v>
      </c>
      <c r="P65" s="18">
        <v>11278</v>
      </c>
      <c r="Q65" s="18">
        <v>3855</v>
      </c>
      <c r="R65" s="18">
        <v>5424</v>
      </c>
      <c r="S65" s="19">
        <f t="shared" si="23"/>
        <v>355576</v>
      </c>
      <c r="T65" s="19">
        <v>346102</v>
      </c>
      <c r="U65" s="20">
        <f t="shared" si="24"/>
        <v>9474</v>
      </c>
      <c r="V65" s="17">
        <f>IF(T65=0,100%,U65/T65)</f>
        <v>0.027373433265337963</v>
      </c>
    </row>
    <row r="66" spans="2:22" ht="12" customHeight="1">
      <c r="B66" s="13" t="s">
        <v>73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9">
        <v>0</v>
      </c>
      <c r="L66" s="19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6182</v>
      </c>
      <c r="S66" s="19">
        <f t="shared" si="23"/>
        <v>6182</v>
      </c>
      <c r="T66" s="19">
        <v>6182</v>
      </c>
      <c r="U66" s="20">
        <f t="shared" si="24"/>
        <v>0</v>
      </c>
      <c r="V66" s="17">
        <f t="shared" si="25"/>
        <v>0</v>
      </c>
    </row>
    <row r="67" spans="2:22" ht="12" customHeight="1">
      <c r="B67" s="28" t="s">
        <v>74</v>
      </c>
      <c r="C67" s="18">
        <v>8335</v>
      </c>
      <c r="D67" s="18">
        <v>876</v>
      </c>
      <c r="E67" s="18">
        <v>2842</v>
      </c>
      <c r="F67" s="18">
        <v>5065</v>
      </c>
      <c r="G67" s="18">
        <v>2828</v>
      </c>
      <c r="H67" s="18">
        <v>30229</v>
      </c>
      <c r="I67" s="18">
        <v>8043</v>
      </c>
      <c r="J67" s="18">
        <v>6967</v>
      </c>
      <c r="K67" s="19">
        <v>344663</v>
      </c>
      <c r="L67" s="19">
        <v>3169</v>
      </c>
      <c r="M67" s="18">
        <v>92880</v>
      </c>
      <c r="N67" s="18">
        <v>112200</v>
      </c>
      <c r="O67" s="18">
        <v>21100</v>
      </c>
      <c r="P67" s="18">
        <v>775</v>
      </c>
      <c r="Q67" s="18">
        <v>1790</v>
      </c>
      <c r="R67" s="18">
        <v>14525</v>
      </c>
      <c r="S67" s="19">
        <f t="shared" si="23"/>
        <v>656287</v>
      </c>
      <c r="T67" s="19">
        <v>468385</v>
      </c>
      <c r="U67" s="20">
        <f t="shared" si="24"/>
        <v>187902</v>
      </c>
      <c r="V67" s="17">
        <f t="shared" si="25"/>
        <v>0.4011699776892941</v>
      </c>
    </row>
    <row r="68" spans="2:22" ht="12" customHeight="1">
      <c r="B68" s="13" t="s">
        <v>75</v>
      </c>
      <c r="C68" s="18">
        <v>537</v>
      </c>
      <c r="D68" s="18">
        <v>274</v>
      </c>
      <c r="E68" s="18">
        <v>1500</v>
      </c>
      <c r="F68" s="18">
        <v>752</v>
      </c>
      <c r="G68" s="18">
        <v>19</v>
      </c>
      <c r="H68" s="18">
        <v>537</v>
      </c>
      <c r="I68" s="18">
        <v>140</v>
      </c>
      <c r="J68" s="18">
        <v>332</v>
      </c>
      <c r="K68" s="19">
        <v>0</v>
      </c>
      <c r="L68" s="19">
        <v>635</v>
      </c>
      <c r="M68" s="18">
        <v>1144</v>
      </c>
      <c r="N68" s="18">
        <v>0</v>
      </c>
      <c r="O68" s="18">
        <v>400</v>
      </c>
      <c r="P68" s="18">
        <v>215</v>
      </c>
      <c r="Q68" s="18">
        <v>456</v>
      </c>
      <c r="R68" s="18">
        <v>171</v>
      </c>
      <c r="S68" s="19">
        <f t="shared" si="23"/>
        <v>7112</v>
      </c>
      <c r="T68" s="19">
        <v>6711</v>
      </c>
      <c r="U68" s="20">
        <f t="shared" si="24"/>
        <v>401</v>
      </c>
      <c r="V68" s="17">
        <f t="shared" si="25"/>
        <v>0.059752644911339595</v>
      </c>
    </row>
    <row r="69" spans="2:22" ht="12" customHeight="1">
      <c r="B69" s="28" t="s">
        <v>76</v>
      </c>
      <c r="C69" s="18">
        <v>0</v>
      </c>
      <c r="D69" s="18">
        <v>0</v>
      </c>
      <c r="E69" s="18">
        <v>0</v>
      </c>
      <c r="F69" s="18">
        <v>0</v>
      </c>
      <c r="G69" s="18">
        <v>1600</v>
      </c>
      <c r="H69" s="18">
        <v>0</v>
      </c>
      <c r="I69" s="18">
        <v>0</v>
      </c>
      <c r="J69" s="18">
        <v>0</v>
      </c>
      <c r="K69" s="19">
        <v>0</v>
      </c>
      <c r="L69" s="19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9">
        <f t="shared" si="23"/>
        <v>1600</v>
      </c>
      <c r="T69" s="19">
        <v>1600</v>
      </c>
      <c r="U69" s="20">
        <f t="shared" si="24"/>
        <v>0</v>
      </c>
      <c r="V69" s="17">
        <f t="shared" si="25"/>
        <v>0</v>
      </c>
    </row>
    <row r="70" spans="2:22" ht="12" customHeight="1">
      <c r="B70" s="28" t="s">
        <v>77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9">
        <v>0</v>
      </c>
      <c r="L70" s="19">
        <v>100000</v>
      </c>
      <c r="M70" s="18">
        <v>372649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9">
        <f t="shared" si="23"/>
        <v>472649</v>
      </c>
      <c r="T70" s="19">
        <v>201355</v>
      </c>
      <c r="U70" s="20">
        <f t="shared" si="24"/>
        <v>271294</v>
      </c>
      <c r="V70" s="17">
        <f t="shared" si="25"/>
        <v>1.3473417595788533</v>
      </c>
    </row>
    <row r="71" spans="2:22" s="29" customFormat="1" ht="12" customHeight="1">
      <c r="B71" s="22" t="s">
        <v>78</v>
      </c>
      <c r="C71" s="23">
        <f>SUM(C61:C70)</f>
        <v>30956</v>
      </c>
      <c r="D71" s="23">
        <f aca="true" t="shared" si="26" ref="D71:R71">SUM(D61:D70)</f>
        <v>78385</v>
      </c>
      <c r="E71" s="23">
        <f t="shared" si="26"/>
        <v>87568</v>
      </c>
      <c r="F71" s="23">
        <f t="shared" si="26"/>
        <v>29046</v>
      </c>
      <c r="G71" s="23">
        <f t="shared" si="26"/>
        <v>15153</v>
      </c>
      <c r="H71" s="23">
        <f t="shared" si="26"/>
        <v>123898</v>
      </c>
      <c r="I71" s="23">
        <f t="shared" si="26"/>
        <v>107306</v>
      </c>
      <c r="J71" s="23">
        <f t="shared" si="26"/>
        <v>85157</v>
      </c>
      <c r="K71" s="23">
        <f t="shared" si="26"/>
        <v>345963</v>
      </c>
      <c r="L71" s="23">
        <f t="shared" si="26"/>
        <v>119043</v>
      </c>
      <c r="M71" s="23">
        <f t="shared" si="26"/>
        <v>546632</v>
      </c>
      <c r="N71" s="23">
        <f>SUM(N61:N70)</f>
        <v>146100</v>
      </c>
      <c r="O71" s="23">
        <f t="shared" si="26"/>
        <v>76315</v>
      </c>
      <c r="P71" s="23">
        <f t="shared" si="26"/>
        <v>30860</v>
      </c>
      <c r="Q71" s="23">
        <f t="shared" si="26"/>
        <v>18312</v>
      </c>
      <c r="R71" s="23">
        <f t="shared" si="26"/>
        <v>3110721</v>
      </c>
      <c r="S71" s="23">
        <f>SUM(S61:S70)</f>
        <v>4951415</v>
      </c>
      <c r="T71" s="23">
        <f>SUM(T61:T70)</f>
        <v>3837207</v>
      </c>
      <c r="U71" s="24">
        <f>SUM(U61:U70)</f>
        <v>1114208</v>
      </c>
      <c r="V71" s="25">
        <f>IF(T71=0,100%,U71/T71)</f>
        <v>0.29036953179747665</v>
      </c>
    </row>
    <row r="72" spans="2:22" ht="3.75" customHeight="1" thickBot="1">
      <c r="B72" s="30"/>
      <c r="C72" s="31"/>
      <c r="D72" s="31"/>
      <c r="E72" s="31"/>
      <c r="F72" s="31"/>
      <c r="G72" s="31"/>
      <c r="H72" s="31"/>
      <c r="I72" s="31"/>
      <c r="J72" s="31"/>
      <c r="K72" s="32"/>
      <c r="L72" s="32"/>
      <c r="M72" s="31"/>
      <c r="N72" s="31"/>
      <c r="O72" s="31"/>
      <c r="P72" s="31"/>
      <c r="Q72" s="31"/>
      <c r="R72" s="32"/>
      <c r="S72" s="32"/>
      <c r="T72" s="32"/>
      <c r="U72" s="32"/>
      <c r="V72" s="33"/>
    </row>
    <row r="73" spans="2:22" ht="15" customHeight="1" thickBot="1">
      <c r="B73" s="34" t="s">
        <v>79</v>
      </c>
      <c r="C73" s="35">
        <f>C22+C32+C45+C53+C60+C71</f>
        <v>1718752</v>
      </c>
      <c r="D73" s="35">
        <f aca="true" t="shared" si="27" ref="D73:R73">D22+D32+D45+D53+D60+D71</f>
        <v>698064</v>
      </c>
      <c r="E73" s="35">
        <f t="shared" si="27"/>
        <v>184618</v>
      </c>
      <c r="F73" s="35">
        <f t="shared" si="27"/>
        <v>1843244.68</v>
      </c>
      <c r="G73" s="35">
        <f t="shared" si="27"/>
        <v>1300482</v>
      </c>
      <c r="H73" s="35">
        <f t="shared" si="27"/>
        <v>3296978</v>
      </c>
      <c r="I73" s="35">
        <f t="shared" si="27"/>
        <v>1950199</v>
      </c>
      <c r="J73" s="35">
        <f t="shared" si="27"/>
        <v>7164559</v>
      </c>
      <c r="K73" s="35">
        <f t="shared" si="27"/>
        <v>13147194</v>
      </c>
      <c r="L73" s="35">
        <f t="shared" si="27"/>
        <v>2484443</v>
      </c>
      <c r="M73" s="35">
        <f t="shared" si="27"/>
        <v>69135099</v>
      </c>
      <c r="N73" s="35">
        <f>N22+N32+N45+N53+N60+N71</f>
        <v>25743125</v>
      </c>
      <c r="O73" s="35">
        <f t="shared" si="27"/>
        <v>41283106</v>
      </c>
      <c r="P73" s="35">
        <f t="shared" si="27"/>
        <v>1158183</v>
      </c>
      <c r="Q73" s="35">
        <f t="shared" si="27"/>
        <v>2847644</v>
      </c>
      <c r="R73" s="35">
        <f t="shared" si="27"/>
        <v>21524309</v>
      </c>
      <c r="S73" s="35">
        <f>S22+S32+S45+S53+S60+S71</f>
        <v>195479999.68</v>
      </c>
      <c r="T73" s="35">
        <f>T22+T32+T45+T53+T60+T71</f>
        <v>192780000</v>
      </c>
      <c r="U73" s="35">
        <f>U22+U32+U45+U53+U60+U71</f>
        <v>2699999.6799999997</v>
      </c>
      <c r="V73" s="36">
        <f>IF(T73=0,100%,U73/T73)</f>
        <v>0.014005600580973129</v>
      </c>
    </row>
    <row r="74" spans="2:17" s="39" customFormat="1" ht="3" customHeight="1" thickTop="1">
      <c r="B74" s="37"/>
      <c r="C74" s="38"/>
      <c r="D74" s="38"/>
      <c r="E74" s="38"/>
      <c r="F74" s="38"/>
      <c r="G74" s="38"/>
      <c r="H74" s="38"/>
      <c r="I74" s="38"/>
      <c r="J74" s="38"/>
      <c r="M74" s="38"/>
      <c r="N74" s="38"/>
      <c r="O74" s="38"/>
      <c r="P74" s="38"/>
      <c r="Q74" s="38"/>
    </row>
    <row r="75" spans="2:20" s="39" customFormat="1" ht="14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1">
        <f>T73-'[1]OMF by Acct'!$T$76</f>
        <v>0</v>
      </c>
    </row>
    <row r="76" spans="2:21" ht="14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42"/>
    </row>
    <row r="77" ht="14.25">
      <c r="B77" s="43"/>
    </row>
    <row r="79" ht="14.25">
      <c r="U79" s="42"/>
    </row>
  </sheetData>
  <sheetProtection/>
  <printOptions/>
  <pageMargins left="0.2" right="0.2" top="0.25" bottom="0.25" header="0.3" footer="0.3"/>
  <pageSetup fitToHeight="6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U90"/>
  <sheetViews>
    <sheetView showGridLines="0" zoomScale="110" zoomScaleNormal="110" zoomScalePageLayoutView="0" workbookViewId="0" topLeftCell="A1">
      <pane xSplit="1" ySplit="8" topLeftCell="B1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M23" sqref="M23"/>
    </sheetView>
  </sheetViews>
  <sheetFormatPr defaultColWidth="9.140625" defaultRowHeight="15" outlineLevelCol="1"/>
  <cols>
    <col min="1" max="1" width="37.140625" style="44" bestFit="1" customWidth="1"/>
    <col min="2" max="2" width="14.00390625" style="44" customWidth="1" outlineLevel="1"/>
    <col min="3" max="3" width="14.421875" style="44" customWidth="1" outlineLevel="1"/>
    <col min="4" max="4" width="12.00390625" style="44" customWidth="1" outlineLevel="1"/>
    <col min="5" max="5" width="11.28125" style="44" customWidth="1" outlineLevel="1"/>
    <col min="6" max="6" width="12.140625" style="44" customWidth="1" outlineLevel="1"/>
    <col min="7" max="7" width="12.421875" style="44" customWidth="1" outlineLevel="1"/>
    <col min="8" max="8" width="12.28125" style="44" customWidth="1" outlineLevel="1"/>
    <col min="9" max="9" width="11.00390625" style="44" customWidth="1" outlineLevel="1"/>
    <col min="10" max="10" width="13.8515625" style="44" customWidth="1" outlineLevel="1"/>
    <col min="11" max="11" width="13.28125" style="44" customWidth="1"/>
    <col min="12" max="12" width="15.421875" style="44" customWidth="1" outlineLevel="1"/>
    <col min="13" max="13" width="13.421875" style="44" customWidth="1" outlineLevel="1" collapsed="1"/>
    <col min="14" max="14" width="14.8515625" style="44" customWidth="1" outlineLevel="1"/>
    <col min="15" max="16" width="13.28125" style="44" customWidth="1" outlineLevel="1"/>
    <col min="17" max="17" width="12.28125" style="44" customWidth="1" outlineLevel="1"/>
    <col min="18" max="18" width="13.28125" style="44" bestFit="1" customWidth="1"/>
    <col min="19" max="20" width="14.8515625" style="44" bestFit="1" customWidth="1"/>
    <col min="21" max="21" width="14.00390625" style="44" bestFit="1" customWidth="1"/>
    <col min="22" max="16384" width="9.140625" style="44" customWidth="1"/>
  </cols>
  <sheetData>
    <row r="1" ht="12.75"/>
    <row r="2" spans="1:21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2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ht="12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1" ht="12.7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1" ht="12.7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1" ht="30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  <c r="S7" s="47"/>
      <c r="T7" s="47"/>
      <c r="U7" s="47"/>
    </row>
    <row r="8" spans="1:21" s="52" customFormat="1" ht="38.25" customHeight="1">
      <c r="A8" s="50" t="s">
        <v>0</v>
      </c>
      <c r="B8" s="51" t="s">
        <v>1</v>
      </c>
      <c r="C8" s="51" t="s">
        <v>2</v>
      </c>
      <c r="D8" s="51" t="s">
        <v>3</v>
      </c>
      <c r="E8" s="51" t="s">
        <v>4</v>
      </c>
      <c r="F8" s="51" t="s">
        <v>5</v>
      </c>
      <c r="G8" s="51" t="s">
        <v>6</v>
      </c>
      <c r="H8" s="51" t="s">
        <v>7</v>
      </c>
      <c r="I8" s="51" t="s">
        <v>8</v>
      </c>
      <c r="J8" s="51" t="s">
        <v>9</v>
      </c>
      <c r="K8" s="51" t="s">
        <v>10</v>
      </c>
      <c r="L8" s="51" t="s">
        <v>11</v>
      </c>
      <c r="M8" s="51" t="s">
        <v>12</v>
      </c>
      <c r="N8" s="51" t="s">
        <v>13</v>
      </c>
      <c r="O8" s="51" t="s">
        <v>14</v>
      </c>
      <c r="P8" s="51" t="s">
        <v>15</v>
      </c>
      <c r="Q8" s="51" t="s">
        <v>16</v>
      </c>
      <c r="R8" s="51" t="s">
        <v>17</v>
      </c>
      <c r="S8" s="51" t="s">
        <v>18</v>
      </c>
      <c r="T8" s="51" t="s">
        <v>80</v>
      </c>
      <c r="U8" s="51" t="s">
        <v>81</v>
      </c>
    </row>
    <row r="9" spans="1:21" ht="12" customHeight="1">
      <c r="A9" s="53" t="s">
        <v>21</v>
      </c>
      <c r="B9" s="54">
        <v>1509036.0081</v>
      </c>
      <c r="C9" s="54">
        <v>393572.78140000004</v>
      </c>
      <c r="D9" s="54">
        <v>87271.03</v>
      </c>
      <c r="E9" s="54">
        <v>1113435.0021</v>
      </c>
      <c r="F9" s="54">
        <v>782719.01985</v>
      </c>
      <c r="G9" s="54">
        <v>826192.63575</v>
      </c>
      <c r="H9" s="54">
        <v>1524641.3734</v>
      </c>
      <c r="I9" s="54">
        <v>1539858.305548</v>
      </c>
      <c r="J9" s="54">
        <v>0</v>
      </c>
      <c r="K9" s="54">
        <v>1006259.04885</v>
      </c>
      <c r="L9" s="54">
        <v>12783457</v>
      </c>
      <c r="M9" s="55">
        <v>8149067</v>
      </c>
      <c r="N9" s="54">
        <v>8668004.770728</v>
      </c>
      <c r="O9" s="54">
        <v>1010873</v>
      </c>
      <c r="P9" s="54">
        <v>2520101.39815</v>
      </c>
      <c r="Q9" s="54">
        <v>6591827.9691</v>
      </c>
      <c r="R9" s="54">
        <f aca="true" t="shared" si="0" ref="R9:R40">SUM(B9:Q9)</f>
        <v>48506316.342976</v>
      </c>
      <c r="S9" s="54">
        <v>47897835</v>
      </c>
      <c r="T9" s="54">
        <f>R9-S9</f>
        <v>608481.3429759964</v>
      </c>
      <c r="U9" s="56">
        <f>IF(S9=0,100%,T9/S9)</f>
        <v>0.012703733748633867</v>
      </c>
    </row>
    <row r="10" spans="1:21" ht="12" customHeight="1">
      <c r="A10" s="53" t="s">
        <v>22</v>
      </c>
      <c r="B10" s="55">
        <v>0</v>
      </c>
      <c r="C10" s="55">
        <v>0</v>
      </c>
      <c r="D10" s="55">
        <v>0</v>
      </c>
      <c r="E10" s="55">
        <v>59165</v>
      </c>
      <c r="F10" s="55">
        <v>0</v>
      </c>
      <c r="G10" s="55">
        <v>146034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f t="shared" si="0"/>
        <v>205199</v>
      </c>
      <c r="S10" s="55">
        <v>175315</v>
      </c>
      <c r="T10" s="57">
        <f aca="true" t="shared" si="1" ref="T10:T77">R10-S10</f>
        <v>29884</v>
      </c>
      <c r="U10" s="56">
        <f aca="true" t="shared" si="2" ref="U10:U77">IF(S10=0,100%,T10/S10)</f>
        <v>0.17045888828679806</v>
      </c>
    </row>
    <row r="11" spans="1:21" ht="12" customHeight="1">
      <c r="A11" s="53" t="s">
        <v>23</v>
      </c>
      <c r="B11" s="55">
        <v>568</v>
      </c>
      <c r="C11" s="55">
        <v>0</v>
      </c>
      <c r="D11" s="55">
        <v>0</v>
      </c>
      <c r="E11" s="55">
        <v>2396</v>
      </c>
      <c r="F11" s="55">
        <v>0</v>
      </c>
      <c r="G11" s="55">
        <v>0</v>
      </c>
      <c r="H11" s="55">
        <v>1986</v>
      </c>
      <c r="I11" s="55">
        <v>1562</v>
      </c>
      <c r="J11" s="55">
        <v>0</v>
      </c>
      <c r="K11" s="55">
        <v>0</v>
      </c>
      <c r="L11" s="55">
        <f>453602</f>
        <v>453602</v>
      </c>
      <c r="M11" s="55">
        <v>106227</v>
      </c>
      <c r="N11" s="55">
        <v>360042</v>
      </c>
      <c r="O11" s="55">
        <v>0</v>
      </c>
      <c r="P11" s="55">
        <v>0</v>
      </c>
      <c r="Q11" s="55">
        <v>23184</v>
      </c>
      <c r="R11" s="55">
        <f t="shared" si="0"/>
        <v>949567</v>
      </c>
      <c r="S11" s="55">
        <v>896410</v>
      </c>
      <c r="T11" s="57">
        <f t="shared" si="1"/>
        <v>53157</v>
      </c>
      <c r="U11" s="56">
        <f t="shared" si="2"/>
        <v>0.05929987394161154</v>
      </c>
    </row>
    <row r="12" spans="1:21" ht="12" customHeight="1">
      <c r="A12" s="53" t="s">
        <v>24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9631861.78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f t="shared" si="0"/>
        <v>9631861.78</v>
      </c>
      <c r="S12" s="55">
        <v>10142352</v>
      </c>
      <c r="T12" s="57">
        <f t="shared" si="1"/>
        <v>-510490.22000000067</v>
      </c>
      <c r="U12" s="56">
        <f t="shared" si="2"/>
        <v>-0.05033252839183659</v>
      </c>
    </row>
    <row r="13" spans="1:21" ht="12" customHeight="1">
      <c r="A13" s="53" t="s">
        <v>25</v>
      </c>
      <c r="B13" s="55">
        <v>194836.575042</v>
      </c>
      <c r="C13" s="55">
        <v>44852.216054</v>
      </c>
      <c r="D13" s="55">
        <v>11313.144804</v>
      </c>
      <c r="E13" s="55">
        <v>143820.899385</v>
      </c>
      <c r="F13" s="55">
        <v>101068.720998</v>
      </c>
      <c r="G13" s="55">
        <v>106328.997828</v>
      </c>
      <c r="H13" s="55">
        <v>197656.24045800001</v>
      </c>
      <c r="I13" s="55">
        <v>198856.928443</v>
      </c>
      <c r="J13" s="55">
        <v>0</v>
      </c>
      <c r="K13" s="55">
        <v>130204.023554</v>
      </c>
      <c r="L13" s="55">
        <v>1650889</v>
      </c>
      <c r="M13" s="55">
        <v>1054339</v>
      </c>
      <c r="N13" s="55">
        <v>1124199.7300910002</v>
      </c>
      <c r="O13" s="55">
        <v>130060</v>
      </c>
      <c r="P13" s="55">
        <v>326632.999156</v>
      </c>
      <c r="Q13" s="55">
        <v>856406.208696</v>
      </c>
      <c r="R13" s="55">
        <f t="shared" si="0"/>
        <v>6271464.684509001</v>
      </c>
      <c r="S13" s="55">
        <v>6077901</v>
      </c>
      <c r="T13" s="57">
        <f t="shared" si="1"/>
        <v>193563.68450900074</v>
      </c>
      <c r="U13" s="56">
        <f t="shared" si="2"/>
        <v>0.03184712691256418</v>
      </c>
    </row>
    <row r="14" spans="1:21" ht="12" customHeight="1">
      <c r="A14" s="53" t="s">
        <v>26</v>
      </c>
      <c r="B14" s="55">
        <v>0</v>
      </c>
      <c r="C14" s="55">
        <v>0</v>
      </c>
      <c r="D14" s="55">
        <v>0</v>
      </c>
      <c r="E14" s="55">
        <v>7673.6</v>
      </c>
      <c r="F14" s="55">
        <v>0</v>
      </c>
      <c r="G14" s="55">
        <v>18940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f t="shared" si="0"/>
        <v>26613.6</v>
      </c>
      <c r="S14" s="55">
        <v>22230</v>
      </c>
      <c r="T14" s="57">
        <f t="shared" si="1"/>
        <v>4383.5999999999985</v>
      </c>
      <c r="U14" s="56">
        <f t="shared" si="2"/>
        <v>0.19719298245614028</v>
      </c>
    </row>
    <row r="15" spans="1:21" ht="12" customHeight="1">
      <c r="A15" s="53" t="s">
        <v>27</v>
      </c>
      <c r="B15" s="55">
        <v>0</v>
      </c>
      <c r="C15" s="55">
        <v>0</v>
      </c>
      <c r="D15" s="55">
        <v>0</v>
      </c>
      <c r="E15" s="55">
        <v>31575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f t="shared" si="0"/>
        <v>31575</v>
      </c>
      <c r="S15" s="55">
        <v>31575</v>
      </c>
      <c r="T15" s="57">
        <f t="shared" si="1"/>
        <v>0</v>
      </c>
      <c r="U15" s="56">
        <f t="shared" si="2"/>
        <v>0</v>
      </c>
    </row>
    <row r="16" spans="1:21" ht="12" customHeight="1">
      <c r="A16" s="53" t="s">
        <v>28</v>
      </c>
      <c r="B16" s="55">
        <v>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127386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f t="shared" si="0"/>
        <v>127386</v>
      </c>
      <c r="S16" s="55">
        <v>227386</v>
      </c>
      <c r="T16" s="57">
        <f t="shared" si="1"/>
        <v>-100000</v>
      </c>
      <c r="U16" s="56">
        <f t="shared" si="2"/>
        <v>-0.43978081324267987</v>
      </c>
    </row>
    <row r="17" spans="1:21" ht="12" customHeight="1">
      <c r="A17" s="53" t="s">
        <v>29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3100000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f t="shared" si="0"/>
        <v>3100000</v>
      </c>
      <c r="S17" s="55">
        <v>3100000</v>
      </c>
      <c r="T17" s="57">
        <f t="shared" si="1"/>
        <v>0</v>
      </c>
      <c r="U17" s="56">
        <f t="shared" si="2"/>
        <v>0</v>
      </c>
    </row>
    <row r="18" spans="1:21" ht="12" customHeight="1">
      <c r="A18" s="53" t="s">
        <v>30</v>
      </c>
      <c r="B18" s="55">
        <v>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277761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f t="shared" si="0"/>
        <v>277761</v>
      </c>
      <c r="S18" s="55">
        <v>327941</v>
      </c>
      <c r="T18" s="57">
        <f t="shared" si="1"/>
        <v>-50180</v>
      </c>
      <c r="U18" s="56">
        <f t="shared" si="2"/>
        <v>-0.15301532897685866</v>
      </c>
    </row>
    <row r="19" spans="1:21" ht="12" customHeight="1">
      <c r="A19" s="53" t="s">
        <v>68</v>
      </c>
      <c r="B19" s="55">
        <v>2308</v>
      </c>
      <c r="C19" s="55">
        <v>2382</v>
      </c>
      <c r="D19" s="55">
        <v>59697</v>
      </c>
      <c r="E19" s="55">
        <v>8418</v>
      </c>
      <c r="F19" s="55">
        <v>646</v>
      </c>
      <c r="G19" s="55">
        <v>2500</v>
      </c>
      <c r="H19" s="55">
        <v>3120</v>
      </c>
      <c r="I19" s="55">
        <v>12941</v>
      </c>
      <c r="J19" s="55">
        <v>0</v>
      </c>
      <c r="K19" s="55">
        <v>0</v>
      </c>
      <c r="L19" s="55">
        <v>30525</v>
      </c>
      <c r="M19" s="55">
        <v>0</v>
      </c>
      <c r="N19" s="55">
        <v>6100</v>
      </c>
      <c r="O19" s="55">
        <v>2013</v>
      </c>
      <c r="P19" s="55">
        <v>500</v>
      </c>
      <c r="Q19" s="55">
        <v>1000</v>
      </c>
      <c r="R19" s="55">
        <f t="shared" si="0"/>
        <v>132150</v>
      </c>
      <c r="S19" s="55">
        <v>127201</v>
      </c>
      <c r="T19" s="57">
        <f t="shared" si="1"/>
        <v>4949</v>
      </c>
      <c r="U19" s="56">
        <f t="shared" si="2"/>
        <v>0.03890692683233622</v>
      </c>
    </row>
    <row r="20" spans="1:21" ht="12" customHeight="1">
      <c r="A20" s="53" t="s">
        <v>32</v>
      </c>
      <c r="B20" s="55">
        <v>1023</v>
      </c>
      <c r="C20" s="55">
        <v>173641</v>
      </c>
      <c r="D20" s="55">
        <v>0</v>
      </c>
      <c r="E20" s="55">
        <v>162551</v>
      </c>
      <c r="F20" s="55">
        <v>197763</v>
      </c>
      <c r="G20" s="55">
        <v>0</v>
      </c>
      <c r="H20" s="55">
        <v>2030</v>
      </c>
      <c r="I20" s="55">
        <f>2097752-290000</f>
        <v>1807752</v>
      </c>
      <c r="J20" s="55">
        <v>0</v>
      </c>
      <c r="K20" s="55">
        <f>359474+67900</f>
        <v>427374</v>
      </c>
      <c r="L20" s="55">
        <f>10547713+14866</f>
        <v>10562579</v>
      </c>
      <c r="M20" s="55">
        <v>3850000</v>
      </c>
      <c r="N20" s="55">
        <v>387000</v>
      </c>
      <c r="O20" s="55">
        <v>56000</v>
      </c>
      <c r="P20" s="55">
        <v>20000</v>
      </c>
      <c r="Q20" s="55">
        <v>52851</v>
      </c>
      <c r="R20" s="55">
        <f t="shared" si="0"/>
        <v>17700564</v>
      </c>
      <c r="S20" s="55">
        <v>19413703</v>
      </c>
      <c r="T20" s="57">
        <f t="shared" si="1"/>
        <v>-1713139</v>
      </c>
      <c r="U20" s="56">
        <f t="shared" si="2"/>
        <v>-0.0882438038739956</v>
      </c>
    </row>
    <row r="21" spans="1:21" ht="12" customHeight="1">
      <c r="A21" s="53" t="s">
        <v>33</v>
      </c>
      <c r="B21" s="55">
        <v>0</v>
      </c>
      <c r="C21" s="55">
        <v>0</v>
      </c>
      <c r="D21" s="55">
        <v>0</v>
      </c>
      <c r="E21" s="55">
        <v>0</v>
      </c>
      <c r="F21" s="55">
        <v>0</v>
      </c>
      <c r="G21" s="55">
        <f>2136669+740000</f>
        <v>2876669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f t="shared" si="0"/>
        <v>2876669</v>
      </c>
      <c r="S21" s="55">
        <v>4386669</v>
      </c>
      <c r="T21" s="57">
        <f t="shared" si="1"/>
        <v>-1510000</v>
      </c>
      <c r="U21" s="56">
        <f t="shared" si="2"/>
        <v>-0.3442247409138916</v>
      </c>
    </row>
    <row r="22" spans="1:21" ht="12" customHeight="1">
      <c r="A22" s="53" t="s">
        <v>34</v>
      </c>
      <c r="B22" s="55">
        <v>0</v>
      </c>
      <c r="C22" s="55">
        <v>0</v>
      </c>
      <c r="D22" s="55">
        <v>0</v>
      </c>
      <c r="E22" s="55">
        <v>0</v>
      </c>
      <c r="F22" s="55">
        <f>288029+104670</f>
        <v>392699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f t="shared" si="0"/>
        <v>392699</v>
      </c>
      <c r="S22" s="55">
        <v>392699</v>
      </c>
      <c r="T22" s="57">
        <f t="shared" si="1"/>
        <v>0</v>
      </c>
      <c r="U22" s="56">
        <f t="shared" si="2"/>
        <v>0</v>
      </c>
    </row>
    <row r="23" spans="1:21" ht="12" customHeight="1">
      <c r="A23" s="53" t="s">
        <v>35</v>
      </c>
      <c r="B23" s="55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f>295899+189500</f>
        <v>485399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f t="shared" si="0"/>
        <v>485399</v>
      </c>
      <c r="S23" s="55">
        <v>535399</v>
      </c>
      <c r="T23" s="57">
        <f t="shared" si="1"/>
        <v>-50000</v>
      </c>
      <c r="U23" s="56">
        <f t="shared" si="2"/>
        <v>-0.09338829545815364</v>
      </c>
    </row>
    <row r="24" spans="1:21" ht="12" customHeight="1">
      <c r="A24" s="53" t="s">
        <v>82</v>
      </c>
      <c r="B24" s="55">
        <v>0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91000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f t="shared" si="0"/>
        <v>91000</v>
      </c>
      <c r="S24" s="55">
        <v>91000</v>
      </c>
      <c r="T24" s="57">
        <f t="shared" si="1"/>
        <v>0</v>
      </c>
      <c r="U24" s="56">
        <f t="shared" si="2"/>
        <v>0</v>
      </c>
    </row>
    <row r="25" spans="1:21" ht="12" customHeight="1">
      <c r="A25" s="53" t="s">
        <v>83</v>
      </c>
      <c r="B25" s="55">
        <v>0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1000000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f t="shared" si="0"/>
        <v>1000000</v>
      </c>
      <c r="S25" s="55">
        <v>2180167</v>
      </c>
      <c r="T25" s="57">
        <f t="shared" si="1"/>
        <v>-1180167</v>
      </c>
      <c r="U25" s="56">
        <f t="shared" si="2"/>
        <v>-0.5413195411177217</v>
      </c>
    </row>
    <row r="26" spans="1:21" ht="12" customHeight="1">
      <c r="A26" s="53" t="s">
        <v>36</v>
      </c>
      <c r="B26" s="55">
        <v>0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588199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850000</v>
      </c>
      <c r="R26" s="55">
        <f t="shared" si="0"/>
        <v>1438199</v>
      </c>
      <c r="S26" s="55">
        <v>1838199</v>
      </c>
      <c r="T26" s="57">
        <f t="shared" si="1"/>
        <v>-400000</v>
      </c>
      <c r="U26" s="56">
        <f t="shared" si="2"/>
        <v>-0.2176042963792277</v>
      </c>
    </row>
    <row r="27" spans="1:21" ht="12" customHeight="1">
      <c r="A27" s="53" t="s">
        <v>37</v>
      </c>
      <c r="B27" s="55">
        <v>0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12506855</v>
      </c>
      <c r="R27" s="55">
        <f t="shared" si="0"/>
        <v>12506855</v>
      </c>
      <c r="S27" s="55">
        <v>9592404</v>
      </c>
      <c r="T27" s="57">
        <f t="shared" si="1"/>
        <v>2914451</v>
      </c>
      <c r="U27" s="56">
        <f t="shared" si="2"/>
        <v>0.3038290505695965</v>
      </c>
    </row>
    <row r="28" spans="1:21" ht="12" customHeight="1">
      <c r="A28" s="53" t="s">
        <v>38</v>
      </c>
      <c r="B28" s="55">
        <v>0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54627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f t="shared" si="0"/>
        <v>54627</v>
      </c>
      <c r="S28" s="55">
        <v>59627</v>
      </c>
      <c r="T28" s="57">
        <f t="shared" si="1"/>
        <v>-5000</v>
      </c>
      <c r="U28" s="56">
        <f t="shared" si="2"/>
        <v>-0.08385462961410099</v>
      </c>
    </row>
    <row r="29" spans="1:21" ht="12" customHeight="1">
      <c r="A29" s="53" t="s">
        <v>42</v>
      </c>
      <c r="B29" s="55">
        <v>0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f>8526299</f>
        <v>8526299</v>
      </c>
      <c r="N29" s="55">
        <f>25718779+499760+22210</f>
        <v>26240749</v>
      </c>
      <c r="O29" s="55">
        <v>0</v>
      </c>
      <c r="P29" s="55">
        <v>0</v>
      </c>
      <c r="Q29" s="55">
        <v>54136</v>
      </c>
      <c r="R29" s="55">
        <f t="shared" si="0"/>
        <v>34821184</v>
      </c>
      <c r="S29" s="55">
        <v>24351791</v>
      </c>
      <c r="T29" s="57">
        <f t="shared" si="1"/>
        <v>10469393</v>
      </c>
      <c r="U29" s="56">
        <f t="shared" si="2"/>
        <v>0.42992291614197903</v>
      </c>
    </row>
    <row r="30" spans="1:21" ht="12" customHeight="1">
      <c r="A30" s="53" t="s">
        <v>84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33417325</v>
      </c>
      <c r="Q30" s="55">
        <v>0</v>
      </c>
      <c r="R30" s="55">
        <f t="shared" si="0"/>
        <v>33417325</v>
      </c>
      <c r="S30" s="55">
        <v>2575051</v>
      </c>
      <c r="T30" s="57">
        <f t="shared" si="1"/>
        <v>30842274</v>
      </c>
      <c r="U30" s="56">
        <f t="shared" si="2"/>
        <v>11.977344914722078</v>
      </c>
    </row>
    <row r="31" spans="1:21" ht="12" customHeight="1">
      <c r="A31" s="53" t="s">
        <v>85</v>
      </c>
      <c r="B31" s="55">
        <v>0</v>
      </c>
      <c r="C31" s="55">
        <v>0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12196334</v>
      </c>
      <c r="N31" s="55">
        <v>0</v>
      </c>
      <c r="O31" s="55">
        <v>0</v>
      </c>
      <c r="P31" s="55">
        <v>1755705</v>
      </c>
      <c r="Q31" s="55">
        <v>0</v>
      </c>
      <c r="R31" s="55">
        <f t="shared" si="0"/>
        <v>13952039</v>
      </c>
      <c r="S31" s="55">
        <v>16736034</v>
      </c>
      <c r="T31" s="57">
        <f t="shared" si="1"/>
        <v>-2783995</v>
      </c>
      <c r="U31" s="56">
        <f t="shared" si="2"/>
        <v>-0.16634735565188263</v>
      </c>
    </row>
    <row r="32" spans="1:21" ht="12" customHeight="1">
      <c r="A32" s="53" t="s">
        <v>43</v>
      </c>
      <c r="B32" s="55">
        <v>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631500</v>
      </c>
      <c r="O32" s="55">
        <v>0</v>
      </c>
      <c r="P32" s="55">
        <v>0</v>
      </c>
      <c r="Q32" s="55">
        <v>0</v>
      </c>
      <c r="R32" s="55">
        <f t="shared" si="0"/>
        <v>631500</v>
      </c>
      <c r="S32" s="55">
        <v>631500</v>
      </c>
      <c r="T32" s="57">
        <f t="shared" si="1"/>
        <v>0</v>
      </c>
      <c r="U32" s="56">
        <f t="shared" si="2"/>
        <v>0</v>
      </c>
    </row>
    <row r="33" spans="1:21" ht="12" customHeight="1">
      <c r="A33" s="53" t="s">
        <v>86</v>
      </c>
      <c r="B33" s="55">
        <v>0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5661100</v>
      </c>
      <c r="Q33" s="55">
        <v>0</v>
      </c>
      <c r="R33" s="55">
        <f t="shared" si="0"/>
        <v>5661100</v>
      </c>
      <c r="S33" s="55">
        <v>1316000</v>
      </c>
      <c r="T33" s="57">
        <f t="shared" si="1"/>
        <v>4345100</v>
      </c>
      <c r="U33" s="56">
        <f t="shared" si="2"/>
        <v>3.301747720364742</v>
      </c>
    </row>
    <row r="34" spans="1:21" ht="12" customHeight="1">
      <c r="A34" s="53" t="s">
        <v>87</v>
      </c>
      <c r="B34" s="55">
        <v>0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5690800</v>
      </c>
      <c r="Q34" s="55">
        <v>0</v>
      </c>
      <c r="R34" s="55">
        <f t="shared" si="0"/>
        <v>5690800</v>
      </c>
      <c r="S34" s="55">
        <v>1270500</v>
      </c>
      <c r="T34" s="57">
        <f t="shared" si="1"/>
        <v>4420300</v>
      </c>
      <c r="U34" s="56">
        <f t="shared" si="2"/>
        <v>3.47918142463597</v>
      </c>
    </row>
    <row r="35" spans="1:21" ht="12" customHeight="1">
      <c r="A35" s="53" t="s">
        <v>88</v>
      </c>
      <c r="B35" s="55">
        <v>0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8494100</v>
      </c>
      <c r="Q35" s="55">
        <v>0</v>
      </c>
      <c r="R35" s="55">
        <f t="shared" si="0"/>
        <v>8494100</v>
      </c>
      <c r="S35" s="55">
        <v>7544999</v>
      </c>
      <c r="T35" s="57">
        <f t="shared" si="1"/>
        <v>949101</v>
      </c>
      <c r="U35" s="56">
        <f t="shared" si="2"/>
        <v>0.1257920643859595</v>
      </c>
    </row>
    <row r="36" spans="1:21" ht="12" customHeight="1">
      <c r="A36" s="53" t="s">
        <v>89</v>
      </c>
      <c r="B36" s="55">
        <v>0</v>
      </c>
      <c r="C36" s="55">
        <v>0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2735000</v>
      </c>
      <c r="Q36" s="55">
        <v>0</v>
      </c>
      <c r="R36" s="55">
        <f t="shared" si="0"/>
        <v>2735000</v>
      </c>
      <c r="S36" s="55">
        <v>4170000</v>
      </c>
      <c r="T36" s="57">
        <f t="shared" si="1"/>
        <v>-1435000</v>
      </c>
      <c r="U36" s="56">
        <f t="shared" si="2"/>
        <v>-0.3441247002398082</v>
      </c>
    </row>
    <row r="37" spans="1:21" ht="12" customHeight="1">
      <c r="A37" s="53" t="s">
        <v>44</v>
      </c>
      <c r="B37" s="55">
        <v>0</v>
      </c>
      <c r="C37" s="55">
        <v>0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163595</v>
      </c>
      <c r="M37" s="55">
        <v>0</v>
      </c>
      <c r="N37" s="55">
        <v>259556</v>
      </c>
      <c r="O37" s="55">
        <v>0</v>
      </c>
      <c r="P37" s="55">
        <v>0</v>
      </c>
      <c r="Q37" s="55">
        <v>0</v>
      </c>
      <c r="R37" s="55">
        <f t="shared" si="0"/>
        <v>423151</v>
      </c>
      <c r="S37" s="55">
        <v>423151</v>
      </c>
      <c r="T37" s="57">
        <f t="shared" si="1"/>
        <v>0</v>
      </c>
      <c r="U37" s="56">
        <f t="shared" si="2"/>
        <v>0</v>
      </c>
    </row>
    <row r="38" spans="1:21" ht="12" customHeight="1">
      <c r="A38" s="53" t="s">
        <v>45</v>
      </c>
      <c r="B38" s="55">
        <v>0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55822</v>
      </c>
      <c r="M38" s="55">
        <v>0</v>
      </c>
      <c r="N38" s="55">
        <v>90350</v>
      </c>
      <c r="O38" s="55">
        <v>0</v>
      </c>
      <c r="P38" s="55">
        <v>0</v>
      </c>
      <c r="Q38" s="55">
        <v>0</v>
      </c>
      <c r="R38" s="55">
        <f t="shared" si="0"/>
        <v>146172</v>
      </c>
      <c r="S38" s="55">
        <v>146172</v>
      </c>
      <c r="T38" s="57">
        <f t="shared" si="1"/>
        <v>0</v>
      </c>
      <c r="U38" s="56">
        <f t="shared" si="2"/>
        <v>0</v>
      </c>
    </row>
    <row r="39" spans="1:21" ht="12" customHeight="1">
      <c r="A39" s="53" t="s">
        <v>69</v>
      </c>
      <c r="B39" s="55">
        <v>0</v>
      </c>
      <c r="C39" s="55">
        <v>0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f>2684370+600000</f>
        <v>3284370</v>
      </c>
      <c r="R39" s="55">
        <f t="shared" si="0"/>
        <v>3284370</v>
      </c>
      <c r="S39" s="55">
        <v>2562211</v>
      </c>
      <c r="T39" s="57">
        <f t="shared" si="1"/>
        <v>722159</v>
      </c>
      <c r="U39" s="56">
        <f t="shared" si="2"/>
        <v>0.2818499335144529</v>
      </c>
    </row>
    <row r="40" spans="1:21" ht="12" customHeight="1">
      <c r="A40" s="53" t="s">
        <v>54</v>
      </c>
      <c r="B40" s="55">
        <v>0</v>
      </c>
      <c r="C40" s="55">
        <v>0</v>
      </c>
      <c r="D40" s="55">
        <v>0</v>
      </c>
      <c r="E40" s="55">
        <v>0</v>
      </c>
      <c r="F40" s="55">
        <v>100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f>11051886+15574</f>
        <v>11067460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f t="shared" si="0"/>
        <v>11067560</v>
      </c>
      <c r="S40" s="55">
        <v>13278852</v>
      </c>
      <c r="T40" s="57">
        <f t="shared" si="1"/>
        <v>-2211292</v>
      </c>
      <c r="U40" s="56">
        <f t="shared" si="2"/>
        <v>-0.1665273473941874</v>
      </c>
    </row>
    <row r="41" spans="1:21" ht="12" customHeight="1">
      <c r="A41" s="53" t="s">
        <v>55</v>
      </c>
      <c r="B41" s="55">
        <v>0</v>
      </c>
      <c r="C41" s="55">
        <v>0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1200700</v>
      </c>
      <c r="N41" s="55">
        <v>121200</v>
      </c>
      <c r="O41" s="55">
        <v>0</v>
      </c>
      <c r="P41" s="55">
        <v>0</v>
      </c>
      <c r="Q41" s="55">
        <v>0</v>
      </c>
      <c r="R41" s="55">
        <f aca="true" t="shared" si="3" ref="R41:R72">SUM(B41:Q41)</f>
        <v>1321900</v>
      </c>
      <c r="S41" s="55">
        <v>1385586</v>
      </c>
      <c r="T41" s="57">
        <f t="shared" si="1"/>
        <v>-63686</v>
      </c>
      <c r="U41" s="56">
        <f t="shared" si="2"/>
        <v>-0.04596322422426324</v>
      </c>
    </row>
    <row r="42" spans="1:21" ht="12" customHeight="1">
      <c r="A42" s="53" t="s">
        <v>61</v>
      </c>
      <c r="B42" s="55">
        <v>0</v>
      </c>
      <c r="C42" s="55">
        <v>0</v>
      </c>
      <c r="D42" s="55">
        <v>0</v>
      </c>
      <c r="E42" s="55">
        <v>0</v>
      </c>
      <c r="F42" s="55">
        <v>0</v>
      </c>
      <c r="G42" s="55">
        <v>0</v>
      </c>
      <c r="H42" s="55">
        <v>59000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f t="shared" si="3"/>
        <v>59000</v>
      </c>
      <c r="S42" s="55">
        <v>47958</v>
      </c>
      <c r="T42" s="57">
        <f t="shared" si="1"/>
        <v>11042</v>
      </c>
      <c r="U42" s="56">
        <f t="shared" si="2"/>
        <v>0.23024312940489594</v>
      </c>
    </row>
    <row r="43" spans="1:21" ht="12" customHeight="1">
      <c r="A43" s="53" t="s">
        <v>39</v>
      </c>
      <c r="B43" s="55">
        <v>0</v>
      </c>
      <c r="C43" s="55">
        <v>0</v>
      </c>
      <c r="D43" s="55">
        <v>0</v>
      </c>
      <c r="E43" s="55">
        <v>157820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f t="shared" si="3"/>
        <v>157820</v>
      </c>
      <c r="S43" s="55">
        <v>157820</v>
      </c>
      <c r="T43" s="57">
        <f t="shared" si="1"/>
        <v>0</v>
      </c>
      <c r="U43" s="56">
        <f t="shared" si="2"/>
        <v>0</v>
      </c>
    </row>
    <row r="44" spans="1:21" ht="12" customHeight="1">
      <c r="A44" s="53" t="s">
        <v>62</v>
      </c>
      <c r="B44" s="55">
        <v>0</v>
      </c>
      <c r="C44" s="55">
        <v>0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5">
        <v>1676601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5">
        <f t="shared" si="3"/>
        <v>1676601</v>
      </c>
      <c r="S44" s="55">
        <v>1676601</v>
      </c>
      <c r="T44" s="57">
        <f t="shared" si="1"/>
        <v>0</v>
      </c>
      <c r="U44" s="56">
        <f t="shared" si="2"/>
        <v>0</v>
      </c>
    </row>
    <row r="45" spans="1:21" ht="12" customHeight="1">
      <c r="A45" s="53" t="s">
        <v>63</v>
      </c>
      <c r="B45" s="55">
        <v>0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1269697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5">
        <f t="shared" si="3"/>
        <v>1269697</v>
      </c>
      <c r="S45" s="55">
        <v>1269697</v>
      </c>
      <c r="T45" s="57">
        <f t="shared" si="1"/>
        <v>0</v>
      </c>
      <c r="U45" s="56">
        <f t="shared" si="2"/>
        <v>0</v>
      </c>
    </row>
    <row r="46" spans="1:21" ht="12" customHeight="1">
      <c r="A46" s="53" t="s">
        <v>64</v>
      </c>
      <c r="B46" s="55">
        <v>280</v>
      </c>
      <c r="C46" s="55">
        <v>10246</v>
      </c>
      <c r="D46" s="55">
        <v>0</v>
      </c>
      <c r="E46" s="55">
        <v>81057</v>
      </c>
      <c r="F46" s="55">
        <v>0</v>
      </c>
      <c r="G46" s="55">
        <v>0</v>
      </c>
      <c r="H46" s="55">
        <v>97800</v>
      </c>
      <c r="I46" s="55">
        <f>1421786-110000</f>
        <v>1311786</v>
      </c>
      <c r="J46" s="55">
        <v>0</v>
      </c>
      <c r="K46" s="55">
        <v>0</v>
      </c>
      <c r="L46" s="55">
        <f>273575</f>
        <v>273575</v>
      </c>
      <c r="M46" s="55">
        <v>0</v>
      </c>
      <c r="N46" s="55">
        <v>0</v>
      </c>
      <c r="O46" s="55">
        <v>0</v>
      </c>
      <c r="P46" s="55">
        <v>0</v>
      </c>
      <c r="Q46" s="55">
        <v>7636</v>
      </c>
      <c r="R46" s="55">
        <f t="shared" si="3"/>
        <v>1782380</v>
      </c>
      <c r="S46" s="55">
        <v>2195673</v>
      </c>
      <c r="T46" s="57">
        <f t="shared" si="1"/>
        <v>-413293</v>
      </c>
      <c r="U46" s="56">
        <f t="shared" si="2"/>
        <v>-0.18823067004968408</v>
      </c>
    </row>
    <row r="47" spans="1:21" ht="12" customHeight="1">
      <c r="A47" s="53" t="s">
        <v>70</v>
      </c>
      <c r="B47" s="55">
        <v>0</v>
      </c>
      <c r="C47" s="55">
        <v>0</v>
      </c>
      <c r="D47" s="55">
        <v>0</v>
      </c>
      <c r="E47" s="55">
        <v>0</v>
      </c>
      <c r="F47" s="55">
        <v>0</v>
      </c>
      <c r="G47" s="55">
        <v>0</v>
      </c>
      <c r="H47" s="55">
        <v>0</v>
      </c>
      <c r="I47" s="55">
        <v>1752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5">
        <f t="shared" si="3"/>
        <v>1752</v>
      </c>
      <c r="S47" s="55">
        <v>1752</v>
      </c>
      <c r="T47" s="57">
        <f t="shared" si="1"/>
        <v>0</v>
      </c>
      <c r="U47" s="56">
        <f t="shared" si="2"/>
        <v>0</v>
      </c>
    </row>
    <row r="48" spans="1:21" ht="12" customHeight="1">
      <c r="A48" s="53" t="s">
        <v>65</v>
      </c>
      <c r="B48" s="55">
        <v>4000</v>
      </c>
      <c r="C48" s="55">
        <v>0</v>
      </c>
      <c r="D48" s="55">
        <v>0</v>
      </c>
      <c r="E48" s="55">
        <v>0</v>
      </c>
      <c r="F48" s="55">
        <v>0</v>
      </c>
      <c r="G48" s="55">
        <v>0</v>
      </c>
      <c r="H48" s="55">
        <v>1122</v>
      </c>
      <c r="I48" s="55">
        <v>8177</v>
      </c>
      <c r="J48" s="55">
        <v>0</v>
      </c>
      <c r="K48" s="55">
        <v>0</v>
      </c>
      <c r="L48" s="55">
        <f>145270</f>
        <v>145270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5">
        <f t="shared" si="3"/>
        <v>158569</v>
      </c>
      <c r="S48" s="55">
        <v>13299</v>
      </c>
      <c r="T48" s="57">
        <f t="shared" si="1"/>
        <v>145270</v>
      </c>
      <c r="U48" s="56">
        <f t="shared" si="2"/>
        <v>10.923377697571246</v>
      </c>
    </row>
    <row r="49" spans="1:21" ht="12" customHeight="1">
      <c r="A49" s="53" t="s">
        <v>66</v>
      </c>
      <c r="B49" s="55">
        <v>0</v>
      </c>
      <c r="C49" s="55">
        <v>0</v>
      </c>
      <c r="D49" s="55">
        <v>0</v>
      </c>
      <c r="E49" s="55">
        <v>0</v>
      </c>
      <c r="F49" s="55">
        <v>0</v>
      </c>
      <c r="G49" s="55">
        <v>0</v>
      </c>
      <c r="H49" s="55">
        <v>0</v>
      </c>
      <c r="I49" s="55">
        <v>46960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5">
        <f t="shared" si="3"/>
        <v>46960</v>
      </c>
      <c r="S49" s="55">
        <v>91960</v>
      </c>
      <c r="T49" s="57">
        <f t="shared" si="1"/>
        <v>-45000</v>
      </c>
      <c r="U49" s="56">
        <f t="shared" si="2"/>
        <v>-0.489343192692475</v>
      </c>
    </row>
    <row r="50" spans="1:21" ht="12" customHeight="1">
      <c r="A50" s="53" t="s">
        <v>71</v>
      </c>
      <c r="B50" s="55">
        <v>14776</v>
      </c>
      <c r="C50" s="55">
        <v>14760</v>
      </c>
      <c r="D50" s="55">
        <v>14029</v>
      </c>
      <c r="E50" s="55">
        <v>6371</v>
      </c>
      <c r="F50" s="55">
        <v>5000</v>
      </c>
      <c r="G50" s="55">
        <v>12869</v>
      </c>
      <c r="H50" s="55">
        <v>21000</v>
      </c>
      <c r="I50" s="55">
        <v>35010</v>
      </c>
      <c r="J50" s="55">
        <v>0</v>
      </c>
      <c r="K50" s="55">
        <v>11578</v>
      </c>
      <c r="L50" s="55">
        <v>20005</v>
      </c>
      <c r="M50" s="55">
        <v>27900</v>
      </c>
      <c r="N50" s="55">
        <v>23100</v>
      </c>
      <c r="O50" s="55">
        <v>16579</v>
      </c>
      <c r="P50" s="55">
        <v>11711</v>
      </c>
      <c r="Q50" s="55">
        <v>12049</v>
      </c>
      <c r="R50" s="55">
        <f t="shared" si="3"/>
        <v>246737</v>
      </c>
      <c r="S50" s="55">
        <v>328708</v>
      </c>
      <c r="T50" s="57">
        <f t="shared" si="1"/>
        <v>-81971</v>
      </c>
      <c r="U50" s="56">
        <f t="shared" si="2"/>
        <v>-0.24937330396582985</v>
      </c>
    </row>
    <row r="51" spans="1:21" ht="12" customHeight="1">
      <c r="A51" s="53" t="s">
        <v>72</v>
      </c>
      <c r="B51" s="55">
        <v>5000</v>
      </c>
      <c r="C51" s="55">
        <v>60093</v>
      </c>
      <c r="D51" s="55">
        <v>9500</v>
      </c>
      <c r="E51" s="55">
        <v>8440</v>
      </c>
      <c r="F51" s="55">
        <v>5060</v>
      </c>
      <c r="G51" s="55">
        <v>77763</v>
      </c>
      <c r="H51" s="55">
        <v>75003</v>
      </c>
      <c r="I51" s="55">
        <v>28155</v>
      </c>
      <c r="J51" s="55">
        <v>1300</v>
      </c>
      <c r="K51" s="55">
        <v>3661</v>
      </c>
      <c r="L51" s="55">
        <v>29429</v>
      </c>
      <c r="M51" s="55">
        <v>6000</v>
      </c>
      <c r="N51" s="55">
        <v>25615</v>
      </c>
      <c r="O51" s="55">
        <v>11278</v>
      </c>
      <c r="P51" s="55">
        <v>3855</v>
      </c>
      <c r="Q51" s="55">
        <v>5424</v>
      </c>
      <c r="R51" s="55">
        <f t="shared" si="3"/>
        <v>355576</v>
      </c>
      <c r="S51" s="55">
        <v>346102</v>
      </c>
      <c r="T51" s="57">
        <f t="shared" si="1"/>
        <v>9474</v>
      </c>
      <c r="U51" s="56">
        <f t="shared" si="2"/>
        <v>0.027373433265337963</v>
      </c>
    </row>
    <row r="52" spans="1:21" ht="12" customHeight="1">
      <c r="A52" s="53" t="s">
        <v>56</v>
      </c>
      <c r="B52" s="55">
        <v>3923</v>
      </c>
      <c r="C52" s="55">
        <v>4187</v>
      </c>
      <c r="D52" s="55">
        <v>0</v>
      </c>
      <c r="E52" s="55">
        <v>67669</v>
      </c>
      <c r="F52" s="55">
        <v>10597</v>
      </c>
      <c r="G52" s="55">
        <v>3423</v>
      </c>
      <c r="H52" s="55">
        <v>14584</v>
      </c>
      <c r="I52" s="55">
        <v>2960</v>
      </c>
      <c r="J52" s="55">
        <v>0</v>
      </c>
      <c r="K52" s="55">
        <v>3044</v>
      </c>
      <c r="L52" s="55">
        <v>67793</v>
      </c>
      <c r="M52" s="55">
        <v>106500</v>
      </c>
      <c r="N52" s="55">
        <v>45900</v>
      </c>
      <c r="O52" s="55">
        <v>3053</v>
      </c>
      <c r="P52" s="55">
        <v>6283</v>
      </c>
      <c r="Q52" s="55">
        <v>33614</v>
      </c>
      <c r="R52" s="55">
        <f t="shared" si="3"/>
        <v>373530</v>
      </c>
      <c r="S52" s="55">
        <v>452183</v>
      </c>
      <c r="T52" s="57">
        <f t="shared" si="1"/>
        <v>-78653</v>
      </c>
      <c r="U52" s="56">
        <f t="shared" si="2"/>
        <v>-0.17394063907754162</v>
      </c>
    </row>
    <row r="53" spans="1:21" ht="12" customHeight="1">
      <c r="A53" s="53" t="s">
        <v>46</v>
      </c>
      <c r="B53" s="55">
        <v>644</v>
      </c>
      <c r="C53" s="55">
        <v>0</v>
      </c>
      <c r="D53" s="55">
        <v>0</v>
      </c>
      <c r="E53" s="55">
        <v>0</v>
      </c>
      <c r="F53" s="55">
        <v>801</v>
      </c>
      <c r="G53" s="55">
        <v>0</v>
      </c>
      <c r="H53" s="55">
        <v>3892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23565</v>
      </c>
      <c r="O53" s="55">
        <v>0</v>
      </c>
      <c r="P53" s="55">
        <v>600</v>
      </c>
      <c r="Q53" s="55">
        <v>0</v>
      </c>
      <c r="R53" s="55">
        <f t="shared" si="3"/>
        <v>29502</v>
      </c>
      <c r="S53" s="55">
        <v>29502</v>
      </c>
      <c r="T53" s="57">
        <f t="shared" si="1"/>
        <v>0</v>
      </c>
      <c r="U53" s="56">
        <f t="shared" si="2"/>
        <v>0</v>
      </c>
    </row>
    <row r="54" spans="1:21" ht="12" customHeight="1">
      <c r="A54" s="53" t="s">
        <v>40</v>
      </c>
      <c r="B54" s="55">
        <v>0</v>
      </c>
      <c r="C54" s="55">
        <v>0</v>
      </c>
      <c r="D54" s="55">
        <v>0</v>
      </c>
      <c r="E54" s="55">
        <v>6594</v>
      </c>
      <c r="F54" s="55">
        <v>0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f>15004160+21144</f>
        <v>15025304</v>
      </c>
      <c r="M54" s="55">
        <v>86000</v>
      </c>
      <c r="N54" s="55">
        <v>100000</v>
      </c>
      <c r="O54" s="55">
        <v>0</v>
      </c>
      <c r="P54" s="55">
        <v>0</v>
      </c>
      <c r="Q54" s="55">
        <v>0</v>
      </c>
      <c r="R54" s="55">
        <f t="shared" si="3"/>
        <v>15217898</v>
      </c>
      <c r="S54" s="55">
        <v>17076191</v>
      </c>
      <c r="T54" s="57">
        <f t="shared" si="1"/>
        <v>-1858293</v>
      </c>
      <c r="U54" s="56">
        <f t="shared" si="2"/>
        <v>-0.1088236246596211</v>
      </c>
    </row>
    <row r="55" spans="1:21" ht="12" customHeight="1">
      <c r="A55" s="53" t="s">
        <v>73</v>
      </c>
      <c r="B55" s="55">
        <v>0</v>
      </c>
      <c r="C55" s="55">
        <v>0</v>
      </c>
      <c r="D55" s="55">
        <v>0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6182</v>
      </c>
      <c r="R55" s="55">
        <f t="shared" si="3"/>
        <v>6182</v>
      </c>
      <c r="S55" s="55">
        <v>6182</v>
      </c>
      <c r="T55" s="57">
        <f t="shared" si="1"/>
        <v>0</v>
      </c>
      <c r="U55" s="56">
        <f t="shared" si="2"/>
        <v>0</v>
      </c>
    </row>
    <row r="56" spans="1:21" ht="12" customHeight="1">
      <c r="A56" s="53" t="s">
        <v>74</v>
      </c>
      <c r="B56" s="55">
        <v>8335</v>
      </c>
      <c r="C56" s="55">
        <v>876</v>
      </c>
      <c r="D56" s="55">
        <v>2842</v>
      </c>
      <c r="E56" s="55">
        <v>5065</v>
      </c>
      <c r="F56" s="55">
        <v>2828</v>
      </c>
      <c r="G56" s="55">
        <v>30229</v>
      </c>
      <c r="H56" s="55">
        <v>8043</v>
      </c>
      <c r="I56" s="55">
        <v>6967</v>
      </c>
      <c r="J56" s="55">
        <v>350110</v>
      </c>
      <c r="K56" s="55">
        <v>3169</v>
      </c>
      <c r="L56" s="55">
        <v>92880</v>
      </c>
      <c r="M56" s="55">
        <v>112200</v>
      </c>
      <c r="N56" s="55">
        <v>21100</v>
      </c>
      <c r="O56" s="55">
        <v>775</v>
      </c>
      <c r="P56" s="55">
        <v>1790</v>
      </c>
      <c r="Q56" s="55">
        <v>14525</v>
      </c>
      <c r="R56" s="55">
        <f t="shared" si="3"/>
        <v>661734</v>
      </c>
      <c r="S56" s="55">
        <v>477647</v>
      </c>
      <c r="T56" s="57">
        <f t="shared" si="1"/>
        <v>184087</v>
      </c>
      <c r="U56" s="56">
        <f t="shared" si="2"/>
        <v>0.38540386519752035</v>
      </c>
    </row>
    <row r="57" spans="1:21" ht="12" customHeight="1">
      <c r="A57" s="53" t="s">
        <v>47</v>
      </c>
      <c r="B57" s="55">
        <v>0</v>
      </c>
      <c r="C57" s="55">
        <v>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2798</v>
      </c>
      <c r="J57" s="55">
        <v>0</v>
      </c>
      <c r="K57" s="55">
        <v>0</v>
      </c>
      <c r="L57" s="55">
        <v>0</v>
      </c>
      <c r="M57" s="55">
        <v>218000</v>
      </c>
      <c r="N57" s="55">
        <v>1942062</v>
      </c>
      <c r="O57" s="55">
        <v>0</v>
      </c>
      <c r="P57" s="55">
        <v>0</v>
      </c>
      <c r="Q57" s="55">
        <v>129417</v>
      </c>
      <c r="R57" s="55">
        <f t="shared" si="3"/>
        <v>2292277</v>
      </c>
      <c r="S57" s="55">
        <v>3173777</v>
      </c>
      <c r="T57" s="57">
        <f t="shared" si="1"/>
        <v>-881500</v>
      </c>
      <c r="U57" s="56">
        <f t="shared" si="2"/>
        <v>-0.2777447816907111</v>
      </c>
    </row>
    <row r="58" spans="1:21" ht="12" customHeight="1">
      <c r="A58" s="53" t="s">
        <v>57</v>
      </c>
      <c r="B58" s="55">
        <v>0</v>
      </c>
      <c r="C58" s="55">
        <v>0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909425</v>
      </c>
      <c r="O58" s="55">
        <v>0</v>
      </c>
      <c r="P58" s="55">
        <v>0</v>
      </c>
      <c r="Q58" s="55">
        <v>0</v>
      </c>
      <c r="R58" s="55">
        <f t="shared" si="3"/>
        <v>909425</v>
      </c>
      <c r="S58" s="55">
        <v>1059425</v>
      </c>
      <c r="T58" s="57">
        <f t="shared" si="1"/>
        <v>-150000</v>
      </c>
      <c r="U58" s="56">
        <f t="shared" si="2"/>
        <v>-0.14158623781768412</v>
      </c>
    </row>
    <row r="59" spans="1:21" ht="12" customHeight="1">
      <c r="A59" s="53" t="s">
        <v>75</v>
      </c>
      <c r="B59" s="55">
        <v>537</v>
      </c>
      <c r="C59" s="55">
        <v>274</v>
      </c>
      <c r="D59" s="55">
        <v>1500</v>
      </c>
      <c r="E59" s="55">
        <v>752</v>
      </c>
      <c r="F59" s="55">
        <v>19</v>
      </c>
      <c r="G59" s="55">
        <v>537</v>
      </c>
      <c r="H59" s="55">
        <v>140</v>
      </c>
      <c r="I59" s="55">
        <v>332</v>
      </c>
      <c r="J59" s="55" t="s">
        <v>90</v>
      </c>
      <c r="K59" s="55">
        <v>635</v>
      </c>
      <c r="L59" s="55">
        <v>1144</v>
      </c>
      <c r="M59" s="55">
        <v>0</v>
      </c>
      <c r="N59" s="55">
        <v>400</v>
      </c>
      <c r="O59" s="55">
        <v>215</v>
      </c>
      <c r="P59" s="55">
        <v>456</v>
      </c>
      <c r="Q59" s="55">
        <v>171</v>
      </c>
      <c r="R59" s="55">
        <f t="shared" si="3"/>
        <v>7112</v>
      </c>
      <c r="S59" s="55">
        <v>6711</v>
      </c>
      <c r="T59" s="57">
        <f t="shared" si="1"/>
        <v>401</v>
      </c>
      <c r="U59" s="56">
        <f t="shared" si="2"/>
        <v>0.059752644911339595</v>
      </c>
    </row>
    <row r="60" spans="1:21" ht="12" customHeight="1">
      <c r="A60" s="53" t="s">
        <v>91</v>
      </c>
      <c r="B60" s="55">
        <v>0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2088500</v>
      </c>
      <c r="N60" s="55">
        <v>220000</v>
      </c>
      <c r="O60" s="55">
        <v>0</v>
      </c>
      <c r="P60" s="55">
        <v>0</v>
      </c>
      <c r="Q60" s="55">
        <v>0</v>
      </c>
      <c r="R60" s="55">
        <f t="shared" si="3"/>
        <v>2308500</v>
      </c>
      <c r="S60" s="55">
        <v>2169500</v>
      </c>
      <c r="T60" s="57">
        <f t="shared" si="1"/>
        <v>139000</v>
      </c>
      <c r="U60" s="56">
        <f t="shared" si="2"/>
        <v>0.06407006222631943</v>
      </c>
    </row>
    <row r="61" spans="1:21" ht="12" customHeight="1">
      <c r="A61" s="53" t="s">
        <v>48</v>
      </c>
      <c r="B61" s="55">
        <v>0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1023309</v>
      </c>
      <c r="O61" s="55">
        <v>0</v>
      </c>
      <c r="P61" s="55">
        <v>0</v>
      </c>
      <c r="Q61" s="55">
        <v>0</v>
      </c>
      <c r="R61" s="55">
        <f t="shared" si="3"/>
        <v>1023309</v>
      </c>
      <c r="S61" s="55">
        <v>1023309</v>
      </c>
      <c r="T61" s="57">
        <f t="shared" si="1"/>
        <v>0</v>
      </c>
      <c r="U61" s="56">
        <f t="shared" si="2"/>
        <v>0</v>
      </c>
    </row>
    <row r="62" spans="1:21" ht="12" customHeight="1">
      <c r="A62" s="53" t="s">
        <v>49</v>
      </c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850000</v>
      </c>
      <c r="O62" s="55">
        <v>0</v>
      </c>
      <c r="P62" s="55">
        <v>0</v>
      </c>
      <c r="Q62" s="55">
        <v>0</v>
      </c>
      <c r="R62" s="55">
        <f t="shared" si="3"/>
        <v>850000</v>
      </c>
      <c r="S62" s="55">
        <v>767590</v>
      </c>
      <c r="T62" s="57">
        <f t="shared" si="1"/>
        <v>82410</v>
      </c>
      <c r="U62" s="56">
        <f t="shared" si="2"/>
        <v>0.10736200315272476</v>
      </c>
    </row>
    <row r="63" spans="1:21" ht="12" customHeight="1">
      <c r="A63" s="53" t="s">
        <v>50</v>
      </c>
      <c r="B63" s="55">
        <v>0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50600</v>
      </c>
      <c r="O63" s="55">
        <v>0</v>
      </c>
      <c r="P63" s="55">
        <v>0</v>
      </c>
      <c r="Q63" s="55">
        <v>0</v>
      </c>
      <c r="R63" s="55">
        <f t="shared" si="3"/>
        <v>50600</v>
      </c>
      <c r="S63" s="55">
        <v>70600</v>
      </c>
      <c r="T63" s="57">
        <f t="shared" si="1"/>
        <v>-20000</v>
      </c>
      <c r="U63" s="56">
        <f t="shared" si="2"/>
        <v>-0.28328611898017</v>
      </c>
    </row>
    <row r="64" spans="1:21" ht="12" customHeight="1">
      <c r="A64" s="53" t="s">
        <v>51</v>
      </c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5">
        <v>1906846</v>
      </c>
      <c r="O64" s="55">
        <v>0</v>
      </c>
      <c r="P64" s="55">
        <v>0</v>
      </c>
      <c r="Q64" s="55">
        <v>0</v>
      </c>
      <c r="R64" s="55">
        <f t="shared" si="3"/>
        <v>1906846</v>
      </c>
      <c r="S64" s="55">
        <v>2246756</v>
      </c>
      <c r="T64" s="57">
        <f t="shared" si="1"/>
        <v>-339910</v>
      </c>
      <c r="U64" s="56">
        <f t="shared" si="2"/>
        <v>-0.1512892365704153</v>
      </c>
    </row>
    <row r="65" spans="1:21" ht="12" customHeight="1">
      <c r="A65" s="53" t="s">
        <v>76</v>
      </c>
      <c r="B65" s="55">
        <v>0</v>
      </c>
      <c r="C65" s="55">
        <v>0</v>
      </c>
      <c r="D65" s="55">
        <v>0</v>
      </c>
      <c r="E65" s="55">
        <v>0</v>
      </c>
      <c r="F65" s="55">
        <v>1600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55">
        <v>0</v>
      </c>
      <c r="Q65" s="55">
        <v>0</v>
      </c>
      <c r="R65" s="55">
        <f t="shared" si="3"/>
        <v>1600</v>
      </c>
      <c r="S65" s="55">
        <v>1600</v>
      </c>
      <c r="T65" s="57">
        <f t="shared" si="1"/>
        <v>0</v>
      </c>
      <c r="U65" s="56">
        <f t="shared" si="2"/>
        <v>0</v>
      </c>
    </row>
    <row r="66" spans="1:21" ht="12" customHeight="1">
      <c r="A66" s="53" t="s">
        <v>58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f>12234854-600000</f>
        <v>11634854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55">
        <f t="shared" si="3"/>
        <v>11634854</v>
      </c>
      <c r="S66" s="55">
        <v>13147271</v>
      </c>
      <c r="T66" s="57">
        <f t="shared" si="1"/>
        <v>-1512417</v>
      </c>
      <c r="U66" s="56">
        <f t="shared" si="2"/>
        <v>-0.11503657298917776</v>
      </c>
    </row>
    <row r="67" spans="1:21" ht="12" customHeight="1">
      <c r="A67" s="53" t="s">
        <v>52</v>
      </c>
      <c r="B67" s="55">
        <v>0</v>
      </c>
      <c r="C67" s="55">
        <v>0</v>
      </c>
      <c r="D67" s="55">
        <v>0</v>
      </c>
      <c r="E67" s="55">
        <v>0</v>
      </c>
      <c r="F67" s="55">
        <v>0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5">
        <v>288685</v>
      </c>
      <c r="O67" s="55">
        <v>0</v>
      </c>
      <c r="P67" s="55">
        <v>0</v>
      </c>
      <c r="Q67" s="55">
        <v>75000</v>
      </c>
      <c r="R67" s="55">
        <f t="shared" si="3"/>
        <v>363685</v>
      </c>
      <c r="S67" s="55">
        <v>365685</v>
      </c>
      <c r="T67" s="57">
        <f t="shared" si="1"/>
        <v>-2000</v>
      </c>
      <c r="U67" s="56">
        <f t="shared" si="2"/>
        <v>-0.005469187962317295</v>
      </c>
    </row>
    <row r="68" spans="1:21" ht="12" customHeight="1">
      <c r="A68" s="53" t="s">
        <v>92</v>
      </c>
      <c r="B68" s="55">
        <v>0</v>
      </c>
      <c r="C68" s="55">
        <v>0</v>
      </c>
      <c r="D68" s="55">
        <v>0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>
        <v>794000</v>
      </c>
      <c r="O68" s="55">
        <v>0</v>
      </c>
      <c r="P68" s="55">
        <v>0</v>
      </c>
      <c r="Q68" s="55">
        <v>0</v>
      </c>
      <c r="R68" s="55">
        <f t="shared" si="3"/>
        <v>794000</v>
      </c>
      <c r="S68" s="55">
        <v>836492</v>
      </c>
      <c r="T68" s="57">
        <f t="shared" si="1"/>
        <v>-42492</v>
      </c>
      <c r="U68" s="56">
        <f t="shared" si="2"/>
        <v>-0.05079785580734783</v>
      </c>
    </row>
    <row r="69" spans="1:21" ht="12" customHeight="1">
      <c r="A69" s="53" t="s">
        <v>93</v>
      </c>
      <c r="B69" s="55">
        <v>0</v>
      </c>
      <c r="C69" s="55">
        <v>0</v>
      </c>
      <c r="D69" s="55">
        <v>0</v>
      </c>
      <c r="E69" s="55">
        <v>0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2782440</v>
      </c>
      <c r="O69" s="55">
        <v>0</v>
      </c>
      <c r="P69" s="55">
        <v>0</v>
      </c>
      <c r="Q69" s="55">
        <v>0</v>
      </c>
      <c r="R69" s="55">
        <f t="shared" si="3"/>
        <v>2782440</v>
      </c>
      <c r="S69" s="55">
        <v>2420000</v>
      </c>
      <c r="T69" s="57">
        <f t="shared" si="1"/>
        <v>362440</v>
      </c>
      <c r="U69" s="56">
        <f t="shared" si="2"/>
        <v>0.1497685950413223</v>
      </c>
    </row>
    <row r="70" spans="1:21" ht="12" customHeight="1">
      <c r="A70" s="53" t="s">
        <v>94</v>
      </c>
      <c r="B70" s="55">
        <v>0</v>
      </c>
      <c r="C70" s="55">
        <v>0</v>
      </c>
      <c r="D70" s="55">
        <v>0</v>
      </c>
      <c r="E70" s="55">
        <v>0</v>
      </c>
      <c r="F70" s="55">
        <v>0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>
        <v>31017500</v>
      </c>
      <c r="N70" s="55">
        <v>0</v>
      </c>
      <c r="O70" s="55">
        <v>0</v>
      </c>
      <c r="P70" s="55">
        <v>0</v>
      </c>
      <c r="Q70" s="55">
        <v>0</v>
      </c>
      <c r="R70" s="55">
        <f t="shared" si="3"/>
        <v>31017500</v>
      </c>
      <c r="S70" s="55">
        <v>31283000</v>
      </c>
      <c r="T70" s="57">
        <f t="shared" si="1"/>
        <v>-265500</v>
      </c>
      <c r="U70" s="56">
        <f t="shared" si="2"/>
        <v>-0.00848703768820126</v>
      </c>
    </row>
    <row r="71" spans="1:21" ht="12" customHeight="1">
      <c r="A71" s="53" t="s">
        <v>59</v>
      </c>
      <c r="B71" s="55">
        <v>0</v>
      </c>
      <c r="C71" s="55">
        <v>0</v>
      </c>
      <c r="D71" s="55">
        <v>0</v>
      </c>
      <c r="E71" s="55">
        <v>0</v>
      </c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f>10585829+40055700</f>
        <v>50641529</v>
      </c>
      <c r="N71" s="55">
        <v>0</v>
      </c>
      <c r="O71" s="55">
        <v>0</v>
      </c>
      <c r="P71" s="55">
        <v>0</v>
      </c>
      <c r="Q71" s="55">
        <v>0</v>
      </c>
      <c r="R71" s="55">
        <f t="shared" si="3"/>
        <v>50641529</v>
      </c>
      <c r="S71" s="55">
        <v>47475950</v>
      </c>
      <c r="T71" s="57">
        <f t="shared" si="1"/>
        <v>3165579</v>
      </c>
      <c r="U71" s="56">
        <f t="shared" si="2"/>
        <v>0.06667752830643726</v>
      </c>
    </row>
    <row r="72" spans="1:21" ht="12" customHeight="1">
      <c r="A72" s="53" t="s">
        <v>53</v>
      </c>
      <c r="B72" s="55">
        <v>0</v>
      </c>
      <c r="C72" s="55">
        <v>0</v>
      </c>
      <c r="D72" s="55">
        <v>0</v>
      </c>
      <c r="E72" s="55">
        <v>0</v>
      </c>
      <c r="F72" s="55">
        <v>0</v>
      </c>
      <c r="G72" s="55">
        <v>0</v>
      </c>
      <c r="H72" s="55">
        <v>0</v>
      </c>
      <c r="I72" s="55">
        <v>1979</v>
      </c>
      <c r="J72" s="55">
        <v>0</v>
      </c>
      <c r="K72" s="55">
        <v>0</v>
      </c>
      <c r="L72" s="55">
        <v>50594</v>
      </c>
      <c r="M72" s="55">
        <v>0</v>
      </c>
      <c r="N72" s="55">
        <v>189600</v>
      </c>
      <c r="O72" s="55">
        <v>0</v>
      </c>
      <c r="P72" s="55">
        <v>0</v>
      </c>
      <c r="Q72" s="55">
        <v>112879</v>
      </c>
      <c r="R72" s="55">
        <f t="shared" si="3"/>
        <v>355052</v>
      </c>
      <c r="S72" s="55">
        <v>346223</v>
      </c>
      <c r="T72" s="57">
        <f t="shared" si="1"/>
        <v>8829</v>
      </c>
      <c r="U72" s="56">
        <f t="shared" si="2"/>
        <v>0.02550090548577073</v>
      </c>
    </row>
    <row r="73" spans="1:21" ht="12" customHeight="1">
      <c r="A73" s="53" t="s">
        <v>95</v>
      </c>
      <c r="B73" s="55">
        <v>0</v>
      </c>
      <c r="C73" s="55">
        <v>0</v>
      </c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  <c r="M73" s="55">
        <v>0</v>
      </c>
      <c r="N73" s="55">
        <v>7867000</v>
      </c>
      <c r="O73" s="55">
        <v>0</v>
      </c>
      <c r="P73" s="55">
        <v>0</v>
      </c>
      <c r="Q73" s="55">
        <v>0</v>
      </c>
      <c r="R73" s="55">
        <f aca="true" t="shared" si="4" ref="R73:R84">SUM(B73:Q73)</f>
        <v>7867000</v>
      </c>
      <c r="S73" s="55">
        <v>6540000</v>
      </c>
      <c r="T73" s="57">
        <f t="shared" si="1"/>
        <v>1327000</v>
      </c>
      <c r="U73" s="56">
        <f t="shared" si="2"/>
        <v>0.20290519877675842</v>
      </c>
    </row>
    <row r="74" spans="1:21" ht="12" customHeight="1">
      <c r="A74" s="53" t="s">
        <v>96</v>
      </c>
      <c r="B74" s="55">
        <v>0</v>
      </c>
      <c r="C74" s="55">
        <v>0</v>
      </c>
      <c r="D74" s="55">
        <v>0</v>
      </c>
      <c r="E74" s="55">
        <v>0</v>
      </c>
      <c r="F74" s="55">
        <v>0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v>5365000</v>
      </c>
      <c r="N74" s="55">
        <v>0</v>
      </c>
      <c r="O74" s="55">
        <v>0</v>
      </c>
      <c r="P74" s="55">
        <v>127291848</v>
      </c>
      <c r="Q74" s="55">
        <v>3925000</v>
      </c>
      <c r="R74" s="55">
        <f t="shared" si="4"/>
        <v>136581848</v>
      </c>
      <c r="S74" s="55">
        <v>55674140</v>
      </c>
      <c r="T74" s="57">
        <f t="shared" si="1"/>
        <v>80907708</v>
      </c>
      <c r="U74" s="56">
        <f t="shared" si="2"/>
        <v>1.453236781026164</v>
      </c>
    </row>
    <row r="75" spans="1:21" ht="12" customHeight="1">
      <c r="A75" s="53" t="s">
        <v>97</v>
      </c>
      <c r="B75" s="55">
        <v>0</v>
      </c>
      <c r="C75" s="55">
        <v>0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  <c r="M75" s="55">
        <v>2300000</v>
      </c>
      <c r="N75" s="55">
        <v>0</v>
      </c>
      <c r="O75" s="55">
        <v>0</v>
      </c>
      <c r="P75" s="55">
        <v>50000</v>
      </c>
      <c r="Q75" s="55">
        <v>0</v>
      </c>
      <c r="R75" s="55">
        <f t="shared" si="4"/>
        <v>2350000</v>
      </c>
      <c r="S75" s="55">
        <v>2325000</v>
      </c>
      <c r="T75" s="57">
        <f t="shared" si="1"/>
        <v>25000</v>
      </c>
      <c r="U75" s="56">
        <f t="shared" si="2"/>
        <v>0.010752688172043012</v>
      </c>
    </row>
    <row r="76" spans="1:21" ht="12" customHeight="1">
      <c r="A76" s="53" t="s">
        <v>77</v>
      </c>
      <c r="B76" s="55">
        <v>0</v>
      </c>
      <c r="C76" s="55">
        <v>0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100000</v>
      </c>
      <c r="L76" s="55">
        <f>479999</f>
        <v>479999</v>
      </c>
      <c r="M76" s="55">
        <v>0</v>
      </c>
      <c r="N76" s="55">
        <v>0</v>
      </c>
      <c r="O76" s="55">
        <v>0</v>
      </c>
      <c r="P76" s="55">
        <v>0</v>
      </c>
      <c r="Q76" s="55">
        <v>0</v>
      </c>
      <c r="R76" s="55">
        <f t="shared" si="4"/>
        <v>579999</v>
      </c>
      <c r="S76" s="55">
        <v>232253</v>
      </c>
      <c r="T76" s="57">
        <f t="shared" si="1"/>
        <v>347746</v>
      </c>
      <c r="U76" s="56">
        <f t="shared" si="2"/>
        <v>1.4972723710780915</v>
      </c>
    </row>
    <row r="77" spans="1:21" ht="12" customHeight="1">
      <c r="A77" s="53" t="s">
        <v>60</v>
      </c>
      <c r="B77" s="55">
        <v>0</v>
      </c>
      <c r="C77" s="55">
        <v>0</v>
      </c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f>24467406+34479</f>
        <v>24501885</v>
      </c>
      <c r="M77" s="55">
        <v>0</v>
      </c>
      <c r="N77" s="55">
        <v>0</v>
      </c>
      <c r="O77" s="55">
        <v>0</v>
      </c>
      <c r="P77" s="55">
        <v>0</v>
      </c>
      <c r="Q77" s="55">
        <v>0</v>
      </c>
      <c r="R77" s="55">
        <f t="shared" si="4"/>
        <v>24501885</v>
      </c>
      <c r="S77" s="55">
        <v>24880274</v>
      </c>
      <c r="T77" s="57">
        <f t="shared" si="1"/>
        <v>-378389</v>
      </c>
      <c r="U77" s="56">
        <f t="shared" si="2"/>
        <v>-0.015208393605311581</v>
      </c>
    </row>
    <row r="78" spans="1:21" ht="12" customHeight="1">
      <c r="A78" s="53" t="s">
        <v>98</v>
      </c>
      <c r="B78" s="55">
        <v>0</v>
      </c>
      <c r="C78" s="55">
        <v>0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55">
        <v>2288000</v>
      </c>
      <c r="Q78" s="55">
        <v>0</v>
      </c>
      <c r="R78" s="55">
        <f t="shared" si="4"/>
        <v>2288000</v>
      </c>
      <c r="S78" s="55">
        <v>2348000</v>
      </c>
      <c r="T78" s="57">
        <f aca="true" t="shared" si="5" ref="T78:T84">R78-S78</f>
        <v>-60000</v>
      </c>
      <c r="U78" s="56">
        <f aca="true" t="shared" si="6" ref="U78:U84">IF(S78=0,100%,T78/S78)</f>
        <v>-0.02555366269165247</v>
      </c>
    </row>
    <row r="79" spans="1:21" ht="12" customHeight="1">
      <c r="A79" s="53" t="s">
        <v>99</v>
      </c>
      <c r="B79" s="55">
        <v>0</v>
      </c>
      <c r="C79" s="55">
        <v>0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55">
        <v>3161613</v>
      </c>
      <c r="Q79" s="55">
        <v>0</v>
      </c>
      <c r="R79" s="55">
        <f t="shared" si="4"/>
        <v>3161613</v>
      </c>
      <c r="S79" s="55">
        <v>7535300</v>
      </c>
      <c r="T79" s="57">
        <f t="shared" si="5"/>
        <v>-4373687</v>
      </c>
      <c r="U79" s="56">
        <f t="shared" si="6"/>
        <v>-0.5804263931097634</v>
      </c>
    </row>
    <row r="80" spans="1:21" ht="12" customHeight="1">
      <c r="A80" s="53" t="s">
        <v>100</v>
      </c>
      <c r="B80" s="55">
        <v>0</v>
      </c>
      <c r="C80" s="55">
        <v>0</v>
      </c>
      <c r="D80" s="55">
        <v>0</v>
      </c>
      <c r="E80" s="55">
        <v>0</v>
      </c>
      <c r="F80" s="55">
        <v>0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  <c r="L80" s="55">
        <v>0</v>
      </c>
      <c r="M80" s="55">
        <v>0</v>
      </c>
      <c r="N80" s="55">
        <v>0</v>
      </c>
      <c r="O80" s="55">
        <v>0</v>
      </c>
      <c r="P80" s="55">
        <v>0</v>
      </c>
      <c r="Q80" s="55">
        <v>0</v>
      </c>
      <c r="R80" s="55">
        <f t="shared" si="4"/>
        <v>0</v>
      </c>
      <c r="S80" s="55">
        <v>3840449</v>
      </c>
      <c r="T80" s="57">
        <f t="shared" si="5"/>
        <v>-3840449</v>
      </c>
      <c r="U80" s="56">
        <f t="shared" si="6"/>
        <v>-1</v>
      </c>
    </row>
    <row r="81" spans="1:21" ht="12" customHeight="1">
      <c r="A81" s="53" t="s">
        <v>101</v>
      </c>
      <c r="B81" s="55">
        <v>0</v>
      </c>
      <c r="C81" s="55">
        <v>0</v>
      </c>
      <c r="D81" s="55">
        <v>0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  <c r="Q81" s="55">
        <v>0</v>
      </c>
      <c r="R81" s="55">
        <f t="shared" si="4"/>
        <v>0</v>
      </c>
      <c r="S81" s="55">
        <v>9669589</v>
      </c>
      <c r="T81" s="57">
        <f t="shared" si="5"/>
        <v>-9669589</v>
      </c>
      <c r="U81" s="56">
        <f t="shared" si="6"/>
        <v>-1</v>
      </c>
    </row>
    <row r="82" spans="1:21" ht="12" customHeight="1">
      <c r="A82" s="53" t="s">
        <v>102</v>
      </c>
      <c r="B82" s="55">
        <v>0</v>
      </c>
      <c r="C82" s="55">
        <v>0</v>
      </c>
      <c r="D82" s="55">
        <v>0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55">
        <v>0</v>
      </c>
      <c r="K82" s="55">
        <v>0</v>
      </c>
      <c r="L82" s="55">
        <v>0</v>
      </c>
      <c r="M82" s="55">
        <v>0</v>
      </c>
      <c r="N82" s="55">
        <v>0</v>
      </c>
      <c r="O82" s="55">
        <v>0</v>
      </c>
      <c r="P82" s="55">
        <v>68887409</v>
      </c>
      <c r="Q82" s="55">
        <v>0</v>
      </c>
      <c r="R82" s="55">
        <f t="shared" si="4"/>
        <v>68887409</v>
      </c>
      <c r="S82" s="55">
        <v>108529469</v>
      </c>
      <c r="T82" s="57">
        <f t="shared" si="5"/>
        <v>-39642060</v>
      </c>
      <c r="U82" s="56">
        <f t="shared" si="6"/>
        <v>-0.3652654008654553</v>
      </c>
    </row>
    <row r="83" spans="1:21" ht="12" customHeight="1">
      <c r="A83" s="53" t="s">
        <v>103</v>
      </c>
      <c r="B83" s="55">
        <v>0</v>
      </c>
      <c r="C83" s="55">
        <v>0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55">
        <v>0</v>
      </c>
      <c r="M83" s="55">
        <v>0</v>
      </c>
      <c r="N83" s="55">
        <v>0</v>
      </c>
      <c r="O83" s="55">
        <v>0</v>
      </c>
      <c r="P83" s="55">
        <v>0</v>
      </c>
      <c r="Q83" s="55">
        <v>0</v>
      </c>
      <c r="R83" s="55">
        <f t="shared" si="4"/>
        <v>0</v>
      </c>
      <c r="S83" s="55">
        <v>604029</v>
      </c>
      <c r="T83" s="57">
        <f t="shared" si="5"/>
        <v>-604029</v>
      </c>
      <c r="U83" s="56">
        <f t="shared" si="6"/>
        <v>-1</v>
      </c>
    </row>
    <row r="84" spans="1:21" ht="12" customHeight="1">
      <c r="A84" s="53" t="s">
        <v>104</v>
      </c>
      <c r="B84" s="55">
        <v>0</v>
      </c>
      <c r="C84" s="55">
        <v>0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  <c r="Q84" s="55">
        <v>0</v>
      </c>
      <c r="R84" s="55">
        <f t="shared" si="4"/>
        <v>0</v>
      </c>
      <c r="S84" s="55">
        <v>2003401</v>
      </c>
      <c r="T84" s="57">
        <f t="shared" si="5"/>
        <v>-2003401</v>
      </c>
      <c r="U84" s="56">
        <f t="shared" si="6"/>
        <v>-1</v>
      </c>
    </row>
    <row r="85" spans="1:21" ht="4.5" customHeight="1" thickBot="1">
      <c r="A85" s="58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6"/>
    </row>
    <row r="86" spans="1:21" ht="12" customHeight="1" thickBot="1">
      <c r="A86" s="60" t="s">
        <v>79</v>
      </c>
      <c r="B86" s="61">
        <f>SUM(B9:B84)</f>
        <v>1745266.583142</v>
      </c>
      <c r="C86" s="61">
        <f aca="true" t="shared" si="7" ref="C86:M86">SUM(C9:C84)</f>
        <v>704883.997454</v>
      </c>
      <c r="D86" s="61">
        <f t="shared" si="7"/>
        <v>186152.174804</v>
      </c>
      <c r="E86" s="61">
        <f t="shared" si="7"/>
        <v>1862802.501485</v>
      </c>
      <c r="F86" s="61">
        <f t="shared" si="7"/>
        <v>1500900.7408480002</v>
      </c>
      <c r="G86" s="61">
        <f t="shared" si="7"/>
        <v>4101485.633578</v>
      </c>
      <c r="H86" s="61">
        <f t="shared" si="7"/>
        <v>2010017.613858</v>
      </c>
      <c r="I86" s="61">
        <f t="shared" si="7"/>
        <v>7954144.233991</v>
      </c>
      <c r="J86" s="61">
        <f t="shared" si="7"/>
        <v>13488418.78</v>
      </c>
      <c r="K86" s="61">
        <f t="shared" si="7"/>
        <v>3850522.072404</v>
      </c>
      <c r="L86" s="61">
        <f t="shared" si="7"/>
        <v>89145288</v>
      </c>
      <c r="M86" s="61">
        <f t="shared" si="7"/>
        <v>127052095</v>
      </c>
      <c r="N86" s="61">
        <f>SUM(N9:N84)</f>
        <v>56952348.500819</v>
      </c>
      <c r="O86" s="61">
        <f>SUM(O9:O84)</f>
        <v>1230846</v>
      </c>
      <c r="P86" s="61">
        <f>SUM(P9:P84)</f>
        <v>262324829.397306</v>
      </c>
      <c r="Q86" s="61">
        <f>SUM(Q9:Q84)</f>
        <v>28542527.177796</v>
      </c>
      <c r="R86" s="61">
        <f>SUM(R9:R84)</f>
        <v>602652528.407485</v>
      </c>
      <c r="S86" s="61">
        <f>SUM(S9:S84)</f>
        <v>538654928</v>
      </c>
      <c r="T86" s="61">
        <f>SUM(T9:T84)</f>
        <v>63997600.40748499</v>
      </c>
      <c r="U86" s="62">
        <f>IF(S86=0,100%,T86/S86)</f>
        <v>0.11881001561631493</v>
      </c>
    </row>
    <row r="87" spans="1:21" ht="4.5" customHeight="1" thickTop="1">
      <c r="A87" s="63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</row>
    <row r="88" spans="1:21" ht="4.5" customHeight="1">
      <c r="A88" s="63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</row>
    <row r="89" spans="1:21" ht="27" customHeight="1">
      <c r="A89" s="63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4"/>
      <c r="T89" s="64"/>
      <c r="U89" s="64"/>
    </row>
    <row r="90" spans="1:21" ht="27.75" customHeight="1">
      <c r="A90" s="63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7"/>
      <c r="T90" s="67"/>
      <c r="U90" s="67"/>
    </row>
  </sheetData>
  <sheetProtection/>
  <conditionalFormatting sqref="B89:U90">
    <cfRule type="cellIs" priority="1" dxfId="0" operator="greaterThan">
      <formula>0</formula>
    </cfRule>
  </conditionalFormatting>
  <printOptions/>
  <pageMargins left="0.25" right="0.25" top="0.25" bottom="0.25" header="0.5" footer="0.5"/>
  <pageSetup horizontalDpi="600" verticalDpi="600" orientation="portrait" scale="62" r:id="rId2"/>
  <rowBreaks count="1" manualBreakCount="1"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Texas Tollway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Carter, Leigh</dc:creator>
  <cp:keywords/>
  <dc:description/>
  <cp:lastModifiedBy>Raj Kafle, Baikuntha</cp:lastModifiedBy>
  <cp:lastPrinted>2020-04-24T20:37:52Z</cp:lastPrinted>
  <dcterms:created xsi:type="dcterms:W3CDTF">2019-12-18T16:56:52Z</dcterms:created>
  <dcterms:modified xsi:type="dcterms:W3CDTF">2020-05-05T20:27:41Z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S23RUA2WJYU2-389-105</vt:lpwstr>
  </property>
  <property fmtid="{D5CDD505-2E9C-101B-9397-08002B2CF9AE}" pid="4" name="_dlc_DocIdItemGu">
    <vt:lpwstr>cd13e835-2fde-41ea-a369-cab090031276</vt:lpwstr>
  </property>
  <property fmtid="{D5CDD505-2E9C-101B-9397-08002B2CF9AE}" pid="5" name="_dlc_DocIdU">
    <vt:lpwstr>https://www.ntta.org/whatwedo/fin_invest_info/_layouts/DocIdRedir.aspx?ID=S23RUA2WJYU2-389-105, S23RUA2WJYU2-389-105</vt:lpwstr>
  </property>
</Properties>
</file>